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Personal\Сайт\XLS\_База Примеров\9_По специальностям\Управление проектами\"/>
    </mc:Choice>
  </mc:AlternateContent>
  <bookViews>
    <workbookView xWindow="-255" yWindow="210" windowWidth="12390" windowHeight="9315" tabRatio="920" firstSheet="1" activeTab="1"/>
  </bookViews>
  <sheets>
    <sheet name="EXCEL2.RU (2)" sheetId="9" state="veryHidden" r:id="rId1"/>
    <sheet name="Сдельная" sheetId="15" r:id="rId2"/>
    <sheet name="Повременная" sheetId="17" r:id="rId3"/>
    <sheet name="2 вида ресурса" sheetId="18" r:id="rId4"/>
    <sheet name="EXCEL2.RU" sheetId="8" r:id="rId5"/>
  </sheets>
  <definedNames>
    <definedName name="anscount" hidden="1">2</definedName>
    <definedName name="limcount" hidden="1">2</definedName>
    <definedName name="sencount" hidden="1">4</definedName>
  </definedNames>
  <calcPr calcId="162913"/>
</workbook>
</file>

<file path=xl/calcChain.xml><?xml version="1.0" encoding="utf-8"?>
<calcChain xmlns="http://schemas.openxmlformats.org/spreadsheetml/2006/main">
  <c r="B7" i="18" l="1"/>
  <c r="B7" i="17"/>
  <c r="E22" i="18"/>
  <c r="C24" i="17"/>
  <c r="D22" i="17"/>
  <c r="D23" i="17" s="1"/>
  <c r="E23" i="17" s="1"/>
  <c r="C23" i="17"/>
  <c r="C22" i="17"/>
  <c r="D22" i="15"/>
  <c r="P23" i="18"/>
  <c r="AB8" i="18" s="1"/>
  <c r="M23" i="18"/>
  <c r="C23" i="18"/>
  <c r="H23" i="18" s="1"/>
  <c r="P22" i="18"/>
  <c r="AB7" i="18" s="1"/>
  <c r="M22" i="18"/>
  <c r="D22" i="18"/>
  <c r="C22" i="18"/>
  <c r="G22" i="18" s="1"/>
  <c r="H21" i="18"/>
  <c r="G21" i="18"/>
  <c r="J12" i="18"/>
  <c r="V12" i="18" s="1"/>
  <c r="C6" i="18"/>
  <c r="U35" i="18" s="1"/>
  <c r="P34" i="17"/>
  <c r="K22" i="17"/>
  <c r="AB8" i="17" s="1"/>
  <c r="D24" i="17" s="1"/>
  <c r="H22" i="17"/>
  <c r="J12" i="17"/>
  <c r="V12" i="17" s="1"/>
  <c r="C6" i="17"/>
  <c r="P35" i="17" s="1"/>
  <c r="D23" i="15"/>
  <c r="C23" i="15"/>
  <c r="C22" i="15"/>
  <c r="G23" i="18" l="1"/>
  <c r="E23" i="18" s="1"/>
  <c r="C24" i="18"/>
  <c r="G24" i="18" s="1"/>
  <c r="G29" i="18" s="1"/>
  <c r="D24" i="18"/>
  <c r="D23" i="18"/>
  <c r="F24" i="17"/>
  <c r="E14" i="17"/>
  <c r="F14" i="17" s="1"/>
  <c r="AI14" i="17" s="1"/>
  <c r="E15" i="17" s="1"/>
  <c r="H22" i="18"/>
  <c r="D25" i="18"/>
  <c r="E14" i="18"/>
  <c r="U34" i="18"/>
  <c r="E24" i="17"/>
  <c r="E27" i="17" s="1"/>
  <c r="D25" i="17"/>
  <c r="E22" i="17"/>
  <c r="P34" i="15"/>
  <c r="D25" i="15"/>
  <c r="H22" i="15"/>
  <c r="K22" i="15"/>
  <c r="AB8" i="15" s="1"/>
  <c r="D24" i="15" s="1"/>
  <c r="G31" i="18" l="1"/>
  <c r="G32" i="18" s="1"/>
  <c r="H24" i="18"/>
  <c r="H29" i="18" s="1"/>
  <c r="U31" i="18" s="1"/>
  <c r="AJ14" i="17"/>
  <c r="E29" i="17"/>
  <c r="P31" i="17" s="1"/>
  <c r="F14" i="18"/>
  <c r="AI14" i="18" s="1"/>
  <c r="E15" i="18" s="1"/>
  <c r="AJ14" i="18"/>
  <c r="F15" i="17"/>
  <c r="AI15" i="17" s="1"/>
  <c r="E16" i="17" s="1"/>
  <c r="AJ15" i="17"/>
  <c r="E22" i="15"/>
  <c r="C24" i="15"/>
  <c r="E23" i="15"/>
  <c r="J12" i="15"/>
  <c r="V12" i="15" s="1"/>
  <c r="C6" i="15"/>
  <c r="B7" i="15" s="1"/>
  <c r="E14" i="15" l="1"/>
  <c r="F14" i="15" s="1"/>
  <c r="AJ14" i="15" s="1"/>
  <c r="P35" i="15"/>
  <c r="F15" i="18"/>
  <c r="AI15" i="18" s="1"/>
  <c r="E16" i="18" s="1"/>
  <c r="AJ15" i="18"/>
  <c r="F16" i="17"/>
  <c r="AI16" i="17" s="1"/>
  <c r="E17" i="17" s="1"/>
  <c r="AJ16" i="17"/>
  <c r="E24" i="15"/>
  <c r="E29" i="15" s="1"/>
  <c r="E31" i="15" s="1"/>
  <c r="F16" i="18" l="1"/>
  <c r="AI16" i="18" s="1"/>
  <c r="E17" i="18" s="1"/>
  <c r="AJ16" i="18"/>
  <c r="F17" i="17"/>
  <c r="AI17" i="17" s="1"/>
  <c r="E18" i="17" s="1"/>
  <c r="AJ17" i="17"/>
  <c r="E27" i="15"/>
  <c r="P31" i="15"/>
  <c r="AI14" i="15"/>
  <c r="E15" i="15" s="1"/>
  <c r="F17" i="18" l="1"/>
  <c r="AI17" i="18" s="1"/>
  <c r="E18" i="18" s="1"/>
  <c r="AJ17" i="18"/>
  <c r="F18" i="17"/>
  <c r="AI18" i="17" s="1"/>
  <c r="AJ18" i="17"/>
  <c r="P33" i="17" s="1"/>
  <c r="F15" i="15"/>
  <c r="AI15" i="15" s="1"/>
  <c r="E16" i="15" s="1"/>
  <c r="AJ15" i="15"/>
  <c r="C25" i="17" l="1"/>
  <c r="Q33" i="17" s="1"/>
  <c r="F18" i="18"/>
  <c r="AI18" i="18" s="1"/>
  <c r="AJ18" i="18"/>
  <c r="U33" i="18" s="1"/>
  <c r="F16" i="15"/>
  <c r="AI16" i="15" s="1"/>
  <c r="E17" i="15" s="1"/>
  <c r="AJ16" i="15"/>
  <c r="C25" i="18" l="1"/>
  <c r="G25" i="18" s="1"/>
  <c r="C28" i="17"/>
  <c r="E25" i="17"/>
  <c r="E30" i="17" s="1"/>
  <c r="C28" i="18"/>
  <c r="V33" i="18"/>
  <c r="I24" i="18"/>
  <c r="AJ17" i="15"/>
  <c r="F17" i="15"/>
  <c r="AI17" i="15" s="1"/>
  <c r="E18" i="15" s="1"/>
  <c r="H25" i="18" l="1"/>
  <c r="H30" i="18" s="1"/>
  <c r="U36" i="18" s="1"/>
  <c r="U37" i="18" s="1"/>
  <c r="E24" i="18"/>
  <c r="E27" i="18"/>
  <c r="U32" i="18"/>
  <c r="U30" i="18" s="1"/>
  <c r="H31" i="18"/>
  <c r="I31" i="18" s="1"/>
  <c r="E25" i="18"/>
  <c r="E28" i="17"/>
  <c r="P32" i="17"/>
  <c r="P30" i="17" s="1"/>
  <c r="P36" i="17"/>
  <c r="P37" i="17" s="1"/>
  <c r="E31" i="17"/>
  <c r="E32" i="17" s="1"/>
  <c r="E28" i="18"/>
  <c r="F18" i="15"/>
  <c r="AI18" i="15" s="1"/>
  <c r="AJ18" i="15"/>
  <c r="H32" i="18" l="1"/>
  <c r="I32" i="18" s="1"/>
  <c r="C25" i="15"/>
  <c r="C28" i="15" s="1"/>
  <c r="P33" i="15"/>
  <c r="Q33" i="15" l="1"/>
  <c r="E25" i="15"/>
  <c r="E30" i="15" s="1"/>
  <c r="P36" i="15" s="1"/>
  <c r="P37" i="15" s="1"/>
  <c r="E28" i="15" l="1"/>
  <c r="E32" i="15"/>
  <c r="P32" i="15"/>
  <c r="P30" i="15" s="1"/>
</calcChain>
</file>

<file path=xl/sharedStrings.xml><?xml version="1.0" encoding="utf-8"?>
<sst xmlns="http://schemas.openxmlformats.org/spreadsheetml/2006/main" count="208" uniqueCount="76">
  <si>
    <t>нач</t>
  </si>
  <si>
    <t>зап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</si>
  <si>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</si>
  <si>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</si>
  <si>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</si>
  <si>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Текущий месяц</t>
  </si>
  <si>
    <t>длит</t>
  </si>
  <si>
    <t>кон</t>
  </si>
  <si>
    <t>Наименование работы</t>
  </si>
  <si>
    <t>Файл скачан с сайта excel2.ru &gt;&gt;&gt;</t>
  </si>
  <si>
    <t>Перейти к статье &gt;&gt;&gt;</t>
  </si>
  <si>
    <t>№ работы</t>
  </si>
  <si>
    <t>предшеств.</t>
  </si>
  <si>
    <t>Начало 1-й работы проекта</t>
  </si>
  <si>
    <t>вып</t>
  </si>
  <si>
    <t>прогн</t>
  </si>
  <si>
    <t>план.конец + прогноз</t>
  </si>
  <si>
    <t>Метод освоенного объема в MS EXCEL</t>
  </si>
  <si>
    <t>Участок 1</t>
  </si>
  <si>
    <t>Участок 2</t>
  </si>
  <si>
    <t>Участок 3</t>
  </si>
  <si>
    <t>Участок 4</t>
  </si>
  <si>
    <t>Участок 5</t>
  </si>
  <si>
    <t>км</t>
  </si>
  <si>
    <t>Техника</t>
  </si>
  <si>
    <t>Рабочие</t>
  </si>
  <si>
    <t>BAC</t>
  </si>
  <si>
    <t>Начальный прогноз стоимости проекта</t>
  </si>
  <si>
    <t>EV</t>
  </si>
  <si>
    <t>Плановая стоимость выполненных работ</t>
  </si>
  <si>
    <t>AC</t>
  </si>
  <si>
    <t>Фактическая стоимость выполненных работ</t>
  </si>
  <si>
    <t>PV</t>
  </si>
  <si>
    <t>Плановая стоимость запланированных работ</t>
  </si>
  <si>
    <t>Запланировано</t>
  </si>
  <si>
    <t>Стоимость</t>
  </si>
  <si>
    <t xml:space="preserve">SV=EV - PV </t>
  </si>
  <si>
    <t xml:space="preserve">CV=EV - AC </t>
  </si>
  <si>
    <t>отклонение по стоимости</t>
  </si>
  <si>
    <t>отклонение по объемам</t>
  </si>
  <si>
    <t>CPI=EV/AC</t>
  </si>
  <si>
    <t>индекс выполнения стоимости</t>
  </si>
  <si>
    <t xml:space="preserve">SPI=EV/PV </t>
  </si>
  <si>
    <t>индекс выполнения расписания работ</t>
  </si>
  <si>
    <t>ETC</t>
  </si>
  <si>
    <t xml:space="preserve">стоимость оставшихся работ </t>
  </si>
  <si>
    <t>общая стоимость на момент завершения</t>
  </si>
  <si>
    <t>EAC</t>
  </si>
  <si>
    <t>Все идет по плану?</t>
  </si>
  <si>
    <t>платим за выполненные работы</t>
  </si>
  <si>
    <t>платим за время пользования</t>
  </si>
  <si>
    <t>Автоматический анализ</t>
  </si>
  <si>
    <t>Факт изменения стоимости ресурса</t>
  </si>
  <si>
    <t>Предположения для прогноза</t>
  </si>
  <si>
    <t>Отклонений по стоимости нет</t>
  </si>
  <si>
    <t>Отставание от расписания, км</t>
  </si>
  <si>
    <t>Объем выполняемый за 1 месяц 1 бригадой</t>
  </si>
  <si>
    <t>Отклонений по расписанию нет</t>
  </si>
  <si>
    <t>Объем, км</t>
  </si>
  <si>
    <t>Цена ресурсов на 1 объем (план), млн. руб</t>
  </si>
  <si>
    <t>Цена ресурсов на 1 объем (факт), млн. руб</t>
  </si>
  <si>
    <t>Цена 1 км</t>
  </si>
  <si>
    <t>Стоимость в разрезе ресурсов</t>
  </si>
  <si>
    <t>Осталось км</t>
  </si>
  <si>
    <t>Отклонения по стоимости НЕ повторятся</t>
  </si>
  <si>
    <t>Отклонения по срокам НЕ повторятся</t>
  </si>
  <si>
    <t>Осталось до завершения проекта мес (прогноз)</t>
  </si>
  <si>
    <t>Анализ производится на конец текущего месяца</t>
  </si>
  <si>
    <t>Прошло месяцев с начала проекта</t>
  </si>
  <si>
    <t>Базовый график строительства дороги, в месяцах</t>
  </si>
  <si>
    <t>Один вид ресурса (на сдельной основе)</t>
  </si>
  <si>
    <t>Один вид ресурса (за время использования)</t>
  </si>
  <si>
    <t>2 вида ресурса</t>
  </si>
  <si>
    <t>Месяц начала проекта</t>
  </si>
  <si>
    <t>Прогноз длительности проекта</t>
  </si>
  <si>
    <t>Задайте текущий месяц, в котором проводится анализ, с помощью элемента управления Счетчик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</si>
</sst>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19]mmmm\ yyyy;@"/>
  </numFmts>
  <fonts count="24" x14ac:knownFonts="1"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sz val="10"/>
      <name val="Arial Cyr"/>
      <charset val="204"/>
    </font>
    <font>
      <sz val="20"/>
      <color theme="0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sz val="14"/>
      <name val="Arial"/>
      <family val="2"/>
      <charset val="204"/>
    </font>
    <font>
      <sz val="14"/>
      <color theme="1" tint="0.14999847407452621"/>
      <name val="Arial"/>
      <family val="2"/>
      <charset val="204"/>
    </font>
    <font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2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0" xfId="2"/>
    <xf numFmtId="0" fontId="7" fillId="4" borderId="0" xfId="2" applyFont="1" applyFill="1" applyAlignment="1">
      <alignment vertical="center" wrapText="1"/>
    </xf>
    <xf numFmtId="0" fontId="12" fillId="3" borderId="0" xfId="7" applyFont="1" applyFill="1" applyAlignment="1" applyProtection="1">
      <alignment vertical="center"/>
    </xf>
    <xf numFmtId="0" fontId="13" fillId="6" borderId="0" xfId="0" applyFont="1" applyFill="1" applyAlignment="1"/>
    <xf numFmtId="0" fontId="14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" fillId="7" borderId="0" xfId="0" applyFont="1" applyFill="1"/>
    <xf numFmtId="0" fontId="2" fillId="7" borderId="0" xfId="0" applyFont="1" applyFill="1"/>
    <xf numFmtId="0" fontId="1" fillId="0" borderId="1" xfId="0" applyFont="1" applyBorder="1" applyAlignment="1">
      <alignment wrapText="1"/>
    </xf>
    <xf numFmtId="165" fontId="1" fillId="5" borderId="1" xfId="0" applyNumberFormat="1" applyFont="1" applyFill="1" applyBorder="1"/>
    <xf numFmtId="0" fontId="1" fillId="0" borderId="1" xfId="0" applyFont="1" applyBorder="1"/>
    <xf numFmtId="1" fontId="1" fillId="0" borderId="0" xfId="0" applyNumberFormat="1" applyFont="1"/>
    <xf numFmtId="0" fontId="1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Font="1" applyAlignment="1"/>
    <xf numFmtId="0" fontId="3" fillId="0" borderId="0" xfId="0" applyFont="1"/>
    <xf numFmtId="1" fontId="17" fillId="0" borderId="1" xfId="0" applyNumberFormat="1" applyFont="1" applyBorder="1" applyAlignment="1">
      <alignment horizontal="centerContinuous" vertical="center"/>
    </xf>
    <xf numFmtId="49" fontId="17" fillId="0" borderId="1" xfId="0" applyNumberFormat="1" applyFont="1" applyBorder="1" applyAlignment="1">
      <alignment horizontal="centerContinuous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Continuous" vertical="center"/>
    </xf>
    <xf numFmtId="49" fontId="17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justify" vertical="justify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/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4" fillId="6" borderId="0" xfId="1" applyFill="1" applyAlignment="1" applyProtection="1"/>
    <xf numFmtId="0" fontId="1" fillId="0" borderId="0" xfId="0" applyFont="1" applyAlignment="1">
      <alignment horizontal="right"/>
    </xf>
    <xf numFmtId="0" fontId="1" fillId="5" borderId="0" xfId="0" applyFont="1" applyFill="1"/>
    <xf numFmtId="0" fontId="3" fillId="0" borderId="0" xfId="0" applyFont="1" applyAlignment="1">
      <alignment horizontal="left" vertical="center"/>
    </xf>
    <xf numFmtId="165" fontId="1" fillId="2" borderId="1" xfId="0" applyNumberFormat="1" applyFont="1" applyFill="1" applyBorder="1"/>
    <xf numFmtId="0" fontId="2" fillId="0" borderId="0" xfId="0" applyFont="1" applyAlignment="1">
      <alignment horizontal="left"/>
    </xf>
    <xf numFmtId="0" fontId="1" fillId="8" borderId="0" xfId="0" applyFont="1" applyFill="1" applyAlignment="1">
      <alignment horizontal="centerContinuous"/>
    </xf>
    <xf numFmtId="0" fontId="20" fillId="0" borderId="0" xfId="0" applyFont="1" applyAlignment="1">
      <alignment horizontal="left" vertical="center"/>
    </xf>
    <xf numFmtId="9" fontId="1" fillId="9" borderId="0" xfId="8" applyFont="1" applyFill="1" applyAlignment="1">
      <alignment horizontal="centerContinuous"/>
    </xf>
    <xf numFmtId="0" fontId="1" fillId="9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3" borderId="0" xfId="1" applyFont="1" applyFill="1" applyAlignment="1" applyProtection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3" fillId="10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3" fillId="0" borderId="0" xfId="0" applyFont="1" applyAlignment="1">
      <alignment wrapText="1"/>
    </xf>
  </cellXfs>
  <cellStyles count="9">
    <cellStyle name="Currency_TapePivot" xfId="3"/>
    <cellStyle name="Normal_ALLOC1" xfId="4"/>
    <cellStyle name="Гиперссылка" xfId="1" builtinId="8"/>
    <cellStyle name="Гиперссылка 2" xfId="5"/>
    <cellStyle name="Гиперссылка 3" xfId="7"/>
    <cellStyle name="Обычный" xfId="0" builtinId="0"/>
    <cellStyle name="Обычный 2" xfId="2"/>
    <cellStyle name="Обычный 3" xfId="6"/>
    <cellStyle name="Процентный" xfId="8" builtinId="5"/>
  </cellStyles>
  <dxfs count="24">
    <dxf>
      <fill>
        <patternFill>
          <bgColor rgb="FFF4ACB3"/>
        </patternFill>
      </fill>
    </dxf>
    <dxf>
      <fill>
        <patternFill>
          <bgColor theme="6"/>
        </patternFill>
      </fill>
    </dxf>
    <dxf>
      <fill>
        <patternFill>
          <bgColor rgb="FFF4ACB3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lightGray">
          <fgColor theme="9" tint="-0.24994659260841701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 patternType="solid">
          <fgColor rgb="FFC00000"/>
          <bgColor rgb="FFC000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lightGray">
          <fgColor theme="9" tint="-0.24994659260841701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 patternType="solid">
          <fgColor rgb="FFC00000"/>
          <bgColor rgb="FFC00000"/>
        </patternFill>
      </fill>
    </dxf>
    <dxf>
      <fill>
        <patternFill>
          <bgColor rgb="FFF4ACB3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lightGray">
          <fgColor theme="9" tint="-0.24994659260841701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 patternType="solid">
          <fgColor rgb="FFC00000"/>
          <bgColor rgb="FFC00000"/>
        </patternFill>
      </fill>
    </dxf>
  </dxfs>
  <tableStyles count="0" defaultTableStyle="TableStyleMedium9" defaultPivotStyle="PivotStyleLight16"/>
  <colors>
    <mruColors>
      <color rgb="FFF4ACB3"/>
      <color rgb="FFFF5050"/>
      <color rgb="FF3B74F3"/>
      <color rgb="FF374EF7"/>
      <color rgb="FFE1FB5F"/>
      <color rgb="FFE2EE4C"/>
      <color rgb="FFE6F747"/>
      <color rgb="FFF7F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2" fmlaLink="$C$7" max="24" min="1" page="10" val="3"/>
</file>

<file path=xl/ctrlProps/ctrlProp2.xml><?xml version="1.0" encoding="utf-8"?>
<formControlPr xmlns="http://schemas.microsoft.com/office/spreadsheetml/2009/9/main" objectType="Scroll" dx="22" fmlaLink="$Q$22" horiz="1" max="8" page="10" val="4"/>
</file>

<file path=xl/ctrlProps/ctrlProp3.xml><?xml version="1.0" encoding="utf-8"?>
<formControlPr xmlns="http://schemas.microsoft.com/office/spreadsheetml/2009/9/main" objectType="Spin" dx="22" fmlaLink="$C$7" max="24" min="1" page="10" val="5"/>
</file>

<file path=xl/ctrlProps/ctrlProp4.xml><?xml version="1.0" encoding="utf-8"?>
<formControlPr xmlns="http://schemas.microsoft.com/office/spreadsheetml/2009/9/main" objectType="Scroll" dx="22" fmlaLink="$Q$22" horiz="1" max="8" page="10" val="3"/>
</file>

<file path=xl/ctrlProps/ctrlProp5.xml><?xml version="1.0" encoding="utf-8"?>
<formControlPr xmlns="http://schemas.microsoft.com/office/spreadsheetml/2009/9/main" objectType="Spin" dx="22" fmlaLink="$C$7" max="24" min="1" page="10" val="9"/>
</file>

<file path=xl/ctrlProps/ctrlProp6.xml><?xml version="1.0" encoding="utf-8"?>
<formControlPr xmlns="http://schemas.microsoft.com/office/spreadsheetml/2009/9/main" objectType="Scroll" dx="22" fmlaLink="$V$22" horiz="1" max="8" page="10" val="6"/>
</file>

<file path=xl/ctrlProps/ctrlProp7.xml><?xml version="1.0" encoding="utf-8"?>
<formControlPr xmlns="http://schemas.microsoft.com/office/spreadsheetml/2009/9/main" objectType="Scroll" dx="22" fmlaLink="$V$23" horiz="1" max="8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7</xdr:row>
          <xdr:rowOff>47625</xdr:rowOff>
        </xdr:from>
        <xdr:to>
          <xdr:col>1</xdr:col>
          <xdr:colOff>2352675</xdr:colOff>
          <xdr:row>8</xdr:row>
          <xdr:rowOff>495300</xdr:rowOff>
        </xdr:to>
        <xdr:sp macro="" textlink="">
          <xdr:nvSpPr>
            <xdr:cNvPr id="2054" name="Spinne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6163</xdr:rowOff>
        </xdr:from>
        <xdr:to>
          <xdr:col>16</xdr:col>
          <xdr:colOff>19049</xdr:colOff>
          <xdr:row>22</xdr:row>
          <xdr:rowOff>44263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7</xdr:row>
          <xdr:rowOff>47625</xdr:rowOff>
        </xdr:from>
        <xdr:to>
          <xdr:col>1</xdr:col>
          <xdr:colOff>2352675</xdr:colOff>
          <xdr:row>8</xdr:row>
          <xdr:rowOff>495300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28575</xdr:rowOff>
        </xdr:from>
        <xdr:to>
          <xdr:col>16</xdr:col>
          <xdr:colOff>24652</xdr:colOff>
          <xdr:row>22</xdr:row>
          <xdr:rowOff>66675</xdr:rowOff>
        </xdr:to>
        <xdr:sp macro="" textlink="">
          <xdr:nvSpPr>
            <xdr:cNvPr id="6147" name="Scroll Bar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7</xdr:row>
          <xdr:rowOff>47625</xdr:rowOff>
        </xdr:from>
        <xdr:to>
          <xdr:col>1</xdr:col>
          <xdr:colOff>2352675</xdr:colOff>
          <xdr:row>8</xdr:row>
          <xdr:rowOff>495300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6163</xdr:rowOff>
        </xdr:from>
        <xdr:to>
          <xdr:col>21</xdr:col>
          <xdr:colOff>2241</xdr:colOff>
          <xdr:row>22</xdr:row>
          <xdr:rowOff>44263</xdr:rowOff>
        </xdr:to>
        <xdr:sp macro="" textlink="">
          <xdr:nvSpPr>
            <xdr:cNvPr id="7170" name="Scroll Ba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28575</xdr:rowOff>
        </xdr:from>
        <xdr:to>
          <xdr:col>21</xdr:col>
          <xdr:colOff>2241</xdr:colOff>
          <xdr:row>23</xdr:row>
          <xdr:rowOff>66675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hyperlink" Target="http://www.excel2.ru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excel2.ru/" TargetMode="External"/><Relationship Id="rId21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://www.excel2.ru/" TargetMode="External"/><Relationship Id="rId25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20" Type="http://schemas.openxmlformats.org/officeDocument/2006/relationships/hyperlink" Target="http://www.excel2.ru/" TargetMode="External"/><Relationship Id="rId29" Type="http://schemas.openxmlformats.org/officeDocument/2006/relationships/ctrlProp" Target="../ctrlProps/ctrlProp1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24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s://excel2.ru/articles/metod-osvoennogo-obema-v-ms-excel" TargetMode="External"/><Relationship Id="rId23" Type="http://schemas.openxmlformats.org/officeDocument/2006/relationships/hyperlink" Target="http://www.excel2.ru/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://www.excel2.ru/" TargetMode="External"/><Relationship Id="rId19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Relationship Id="rId22" Type="http://schemas.openxmlformats.org/officeDocument/2006/relationships/hyperlink" Target="http://www.excel2.ru/" TargetMode="External"/><Relationship Id="rId27" Type="http://schemas.openxmlformats.org/officeDocument/2006/relationships/drawing" Target="../drawings/drawing1.xml"/><Relationship Id="rId30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hyperlink" Target="http://www.excel2.ru/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://www.excel2.ru/" TargetMode="External"/><Relationship Id="rId21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://www.excel2.ru/" TargetMode="External"/><Relationship Id="rId25" Type="http://schemas.openxmlformats.org/officeDocument/2006/relationships/hyperlink" Target="https://excel2.ru/articles/metod-osvoennogo-obema-v-ms-excel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20" Type="http://schemas.openxmlformats.org/officeDocument/2006/relationships/hyperlink" Target="http://www.excel2.ru/" TargetMode="External"/><Relationship Id="rId29" Type="http://schemas.openxmlformats.org/officeDocument/2006/relationships/ctrlProp" Target="../ctrlProps/ctrlProp3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24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23" Type="http://schemas.openxmlformats.org/officeDocument/2006/relationships/hyperlink" Target="http://www.excel2.ru/" TargetMode="External"/><Relationship Id="rId28" Type="http://schemas.openxmlformats.org/officeDocument/2006/relationships/vmlDrawing" Target="../drawings/vmlDrawing2.vml"/><Relationship Id="rId10" Type="http://schemas.openxmlformats.org/officeDocument/2006/relationships/hyperlink" Target="http://www.excel2.ru/" TargetMode="External"/><Relationship Id="rId19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Relationship Id="rId22" Type="http://schemas.openxmlformats.org/officeDocument/2006/relationships/hyperlink" Target="http://www.excel2.ru/" TargetMode="External"/><Relationship Id="rId27" Type="http://schemas.openxmlformats.org/officeDocument/2006/relationships/drawing" Target="../drawings/drawing2.xml"/><Relationship Id="rId30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hyperlink" Target="http://www.excel2.ru/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://www.excel2.ru/" TargetMode="External"/><Relationship Id="rId21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://www.excel2.ru/" TargetMode="External"/><Relationship Id="rId25" Type="http://schemas.openxmlformats.org/officeDocument/2006/relationships/hyperlink" Target="https://excel2.ru/articles/metod-osvoennogo-obema-v-ms-excel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20" Type="http://schemas.openxmlformats.org/officeDocument/2006/relationships/hyperlink" Target="http://www.excel2.ru/" TargetMode="External"/><Relationship Id="rId29" Type="http://schemas.openxmlformats.org/officeDocument/2006/relationships/ctrlProp" Target="../ctrlProps/ctrlProp5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24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23" Type="http://schemas.openxmlformats.org/officeDocument/2006/relationships/hyperlink" Target="http://www.excel2.ru/" TargetMode="External"/><Relationship Id="rId28" Type="http://schemas.openxmlformats.org/officeDocument/2006/relationships/vmlDrawing" Target="../drawings/vmlDrawing3.vml"/><Relationship Id="rId10" Type="http://schemas.openxmlformats.org/officeDocument/2006/relationships/hyperlink" Target="http://www.excel2.ru/" TargetMode="External"/><Relationship Id="rId19" Type="http://schemas.openxmlformats.org/officeDocument/2006/relationships/hyperlink" Target="http://www.excel2.ru/" TargetMode="External"/><Relationship Id="rId31" Type="http://schemas.openxmlformats.org/officeDocument/2006/relationships/ctrlProp" Target="../ctrlProps/ctrlProp7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Relationship Id="rId22" Type="http://schemas.openxmlformats.org/officeDocument/2006/relationships/hyperlink" Target="http://www.excel2.ru/" TargetMode="External"/><Relationship Id="rId27" Type="http://schemas.openxmlformats.org/officeDocument/2006/relationships/drawing" Target="../drawings/drawing3.xml"/><Relationship Id="rId30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67" t="s">
        <v>2</v>
      </c>
      <c r="B1" s="67"/>
      <c r="C1" s="67"/>
      <c r="D1" s="67"/>
      <c r="E1" s="67"/>
      <c r="F1" s="67"/>
      <c r="G1" s="67"/>
    </row>
    <row r="2" spans="1:7" ht="107.25" customHeight="1" x14ac:dyDescent="0.25">
      <c r="A2" s="7" t="s">
        <v>3</v>
      </c>
    </row>
    <row r="3" spans="1:7" ht="105" customHeight="1" x14ac:dyDescent="0.25">
      <c r="A3" s="7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7"/>
  <sheetViews>
    <sheetView tabSelected="1" zoomScale="85" zoomScaleNormal="85" zoomScaleSheetLayoutView="40" workbookViewId="0">
      <selection activeCell="AJ28" sqref="AJ28"/>
    </sheetView>
  </sheetViews>
  <sheetFormatPr defaultRowHeight="15" x14ac:dyDescent="0.2"/>
  <cols>
    <col min="1" max="1" width="20.28515625" style="1" customWidth="1"/>
    <col min="2" max="2" width="36.140625" style="1" bestFit="1" customWidth="1"/>
    <col min="3" max="3" width="9.5703125" style="5" bestFit="1" customWidth="1"/>
    <col min="4" max="4" width="8.42578125" style="5" bestFit="1" customWidth="1"/>
    <col min="5" max="9" width="5" style="5" customWidth="1"/>
    <col min="10" max="18" width="4.28515625" style="1" customWidth="1"/>
    <col min="19" max="19" width="4.7109375" style="1" customWidth="1"/>
    <col min="20" max="33" width="4.28515625" style="1" customWidth="1"/>
    <col min="34" max="34" width="2.85546875" style="1" customWidth="1"/>
    <col min="35" max="35" width="12" style="1" bestFit="1" customWidth="1"/>
    <col min="36" max="41" width="9.140625" style="1"/>
    <col min="42" max="42" width="4.140625" style="1" customWidth="1"/>
    <col min="43" max="272" width="9.140625" style="1"/>
    <col min="273" max="273" width="10" style="1" customWidth="1"/>
    <col min="274" max="353" width="9.140625" style="1"/>
    <col min="354" max="354" width="8.5703125" style="1" customWidth="1"/>
    <col min="355" max="16384" width="9.140625" style="1"/>
  </cols>
  <sheetData>
    <row r="1" spans="1:36" ht="25.5" x14ac:dyDescent="0.2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6" ht="15.75" x14ac:dyDescent="0.25">
      <c r="A2" s="55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6" ht="18" x14ac:dyDescent="0.2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6" x14ac:dyDescent="0.2">
      <c r="A4" s="12" t="s">
        <v>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6" spans="1:36" ht="28.5" x14ac:dyDescent="0.2">
      <c r="A6" s="75" t="s">
        <v>73</v>
      </c>
      <c r="B6" s="15">
        <v>44593</v>
      </c>
      <c r="C6" s="1">
        <f>MONTH(B6)</f>
        <v>2</v>
      </c>
    </row>
    <row r="7" spans="1:36" x14ac:dyDescent="0.2">
      <c r="A7" s="76" t="s">
        <v>5</v>
      </c>
      <c r="B7" s="59">
        <f>EOMONTH(B6,C7-C6)</f>
        <v>44651</v>
      </c>
      <c r="C7" s="17">
        <v>3</v>
      </c>
      <c r="I7" s="1"/>
      <c r="M7" s="69" t="s">
        <v>56</v>
      </c>
      <c r="P7" s="68" t="s">
        <v>59</v>
      </c>
      <c r="AB7" s="68" t="s">
        <v>60</v>
      </c>
    </row>
    <row r="8" spans="1:36" x14ac:dyDescent="0.2">
      <c r="A8" s="74" t="s">
        <v>67</v>
      </c>
      <c r="L8" s="57">
        <v>2</v>
      </c>
      <c r="M8" s="56" t="s">
        <v>23</v>
      </c>
      <c r="P8" s="68" t="s">
        <v>25</v>
      </c>
      <c r="S8" s="57">
        <v>5</v>
      </c>
      <c r="T8" s="3" t="s">
        <v>49</v>
      </c>
      <c r="Y8" s="60"/>
      <c r="AB8" s="66">
        <f>S8*(1+K22)</f>
        <v>5</v>
      </c>
    </row>
    <row r="9" spans="1:36" ht="67.5" customHeight="1" x14ac:dyDescent="0.35">
      <c r="A9" s="77" t="s">
        <v>75</v>
      </c>
      <c r="B9" s="18" t="s">
        <v>69</v>
      </c>
      <c r="C9" s="4"/>
      <c r="D9" s="4"/>
      <c r="E9" s="4"/>
      <c r="F9" s="4"/>
      <c r="G9" s="4"/>
      <c r="H9" s="4"/>
      <c r="I9" s="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6" x14ac:dyDescent="0.2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6" ht="24" customHeight="1" x14ac:dyDescent="0.2">
      <c r="C11" s="4"/>
      <c r="D11" s="4"/>
      <c r="E11" s="4"/>
      <c r="F11" s="4"/>
      <c r="G11" s="4"/>
      <c r="H11" s="4"/>
      <c r="I11" s="4"/>
      <c r="J11" s="20">
        <v>1</v>
      </c>
      <c r="K11" s="20">
        <v>2</v>
      </c>
      <c r="L11" s="20">
        <v>3</v>
      </c>
      <c r="M11" s="20">
        <v>4</v>
      </c>
      <c r="N11" s="20">
        <v>5</v>
      </c>
      <c r="O11" s="20">
        <v>6</v>
      </c>
      <c r="P11" s="20">
        <v>7</v>
      </c>
      <c r="Q11" s="20">
        <v>8</v>
      </c>
      <c r="R11" s="20">
        <v>9</v>
      </c>
      <c r="S11" s="20">
        <v>10</v>
      </c>
      <c r="T11" s="20">
        <v>11</v>
      </c>
      <c r="U11" s="20">
        <v>12</v>
      </c>
      <c r="V11" s="20">
        <v>13</v>
      </c>
      <c r="W11" s="20">
        <v>14</v>
      </c>
      <c r="X11" s="20">
        <v>15</v>
      </c>
      <c r="Y11" s="20">
        <v>16</v>
      </c>
      <c r="Z11" s="20">
        <v>17</v>
      </c>
      <c r="AA11" s="20">
        <v>18</v>
      </c>
      <c r="AB11" s="20">
        <v>19</v>
      </c>
      <c r="AC11" s="20">
        <v>20</v>
      </c>
      <c r="AD11" s="20">
        <v>21</v>
      </c>
      <c r="AE11" s="20">
        <v>22</v>
      </c>
      <c r="AF11" s="20">
        <v>23</v>
      </c>
      <c r="AG11" s="20">
        <v>24</v>
      </c>
    </row>
    <row r="12" spans="1:36" ht="15.75" x14ac:dyDescent="0.2">
      <c r="B12" s="2"/>
      <c r="C12" s="4"/>
      <c r="D12" s="4"/>
      <c r="E12" s="4"/>
      <c r="F12" s="4"/>
      <c r="G12" s="4"/>
      <c r="H12" s="4"/>
      <c r="I12" s="4"/>
      <c r="J12" s="27">
        <f>YEAR(B6)</f>
        <v>2022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>
        <f>J12+1</f>
        <v>2023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6" ht="22.5" x14ac:dyDescent="0.2">
      <c r="A13" s="54" t="s">
        <v>11</v>
      </c>
      <c r="B13" s="28" t="s">
        <v>8</v>
      </c>
      <c r="C13" s="52" t="s">
        <v>12</v>
      </c>
      <c r="D13" s="52" t="s">
        <v>6</v>
      </c>
      <c r="E13" s="29" t="s">
        <v>0</v>
      </c>
      <c r="F13" s="29" t="s">
        <v>7</v>
      </c>
      <c r="G13" s="52" t="s">
        <v>1</v>
      </c>
      <c r="H13" s="53" t="s">
        <v>14</v>
      </c>
      <c r="I13" s="53" t="s">
        <v>15</v>
      </c>
      <c r="J13" s="25">
        <v>1</v>
      </c>
      <c r="K13" s="25">
        <v>2</v>
      </c>
      <c r="L13" s="25">
        <v>3</v>
      </c>
      <c r="M13" s="25">
        <v>4</v>
      </c>
      <c r="N13" s="25">
        <v>5</v>
      </c>
      <c r="O13" s="25">
        <v>6</v>
      </c>
      <c r="P13" s="25">
        <v>7</v>
      </c>
      <c r="Q13" s="25">
        <v>8</v>
      </c>
      <c r="R13" s="25">
        <v>9</v>
      </c>
      <c r="S13" s="25">
        <v>10</v>
      </c>
      <c r="T13" s="25">
        <v>11</v>
      </c>
      <c r="U13" s="25">
        <v>12</v>
      </c>
      <c r="V13" s="25">
        <v>1</v>
      </c>
      <c r="W13" s="25">
        <v>2</v>
      </c>
      <c r="X13" s="25">
        <v>3</v>
      </c>
      <c r="Y13" s="25">
        <v>4</v>
      </c>
      <c r="Z13" s="25">
        <v>5</v>
      </c>
      <c r="AA13" s="26">
        <v>6</v>
      </c>
      <c r="AB13" s="26">
        <v>7</v>
      </c>
      <c r="AC13" s="26">
        <v>8</v>
      </c>
      <c r="AD13" s="26">
        <v>9</v>
      </c>
      <c r="AE13" s="26">
        <v>10</v>
      </c>
      <c r="AF13" s="26">
        <v>11</v>
      </c>
      <c r="AG13" s="26">
        <v>12</v>
      </c>
      <c r="AI13" s="29" t="s">
        <v>16</v>
      </c>
      <c r="AJ13" s="29" t="s">
        <v>34</v>
      </c>
    </row>
    <row r="14" spans="1:36" ht="15" customHeight="1" x14ac:dyDescent="0.2">
      <c r="A14" s="30">
        <v>10</v>
      </c>
      <c r="B14" s="31" t="s">
        <v>18</v>
      </c>
      <c r="C14" s="32"/>
      <c r="D14" s="32">
        <v>4</v>
      </c>
      <c r="E14" s="32">
        <f>IF(ISBLANK(C14),$C$6,INDEX($AI$14:$AI$18,MATCH(C14,$A$14:$A$18,0))+1+$G14)</f>
        <v>2</v>
      </c>
      <c r="F14" s="32">
        <f>E14+D14-1</f>
        <v>5</v>
      </c>
      <c r="G14" s="32"/>
      <c r="H14" s="33">
        <v>2</v>
      </c>
      <c r="I14" s="33"/>
      <c r="J14" s="46"/>
      <c r="K14" s="47"/>
      <c r="L14" s="47"/>
      <c r="M14" s="48"/>
      <c r="N14" s="48"/>
      <c r="O14" s="48"/>
      <c r="P14" s="48"/>
      <c r="Q14" s="48"/>
      <c r="R14" s="48"/>
      <c r="S14" s="48"/>
      <c r="T14" s="49"/>
      <c r="U14" s="47"/>
      <c r="V14" s="47"/>
      <c r="W14" s="47"/>
      <c r="X14" s="50"/>
      <c r="Y14" s="47"/>
      <c r="Z14" s="47"/>
      <c r="AA14" s="47"/>
      <c r="AB14" s="47"/>
      <c r="AC14" s="47"/>
      <c r="AD14" s="47"/>
      <c r="AE14" s="47"/>
      <c r="AF14" s="47"/>
      <c r="AG14" s="51"/>
      <c r="AI14" s="32">
        <f>F14+I14</f>
        <v>5</v>
      </c>
      <c r="AJ14" s="32">
        <f>IF($C$7&lt;E14,0,MIN($C$7,F14)-E14+1)</f>
        <v>2</v>
      </c>
    </row>
    <row r="15" spans="1:36" x14ac:dyDescent="0.2">
      <c r="A15" s="30">
        <v>20</v>
      </c>
      <c r="B15" s="31" t="s">
        <v>19</v>
      </c>
      <c r="C15" s="32">
        <v>10</v>
      </c>
      <c r="D15" s="32">
        <v>5</v>
      </c>
      <c r="E15" s="32">
        <f>IF(ISBLANK(C15),$C$6,INDEX($AI$14:$AI$18,MATCH(C15,$A$14:$A$18,0))+1+$G15)</f>
        <v>6</v>
      </c>
      <c r="F15" s="32">
        <f t="shared" ref="F15:F18" si="0">E15+D15-1</f>
        <v>10</v>
      </c>
      <c r="G15" s="32"/>
      <c r="H15" s="33"/>
      <c r="I15" s="33"/>
      <c r="J15" s="38"/>
      <c r="K15" s="34"/>
      <c r="L15" s="34"/>
      <c r="M15" s="35"/>
      <c r="N15" s="35"/>
      <c r="O15" s="35"/>
      <c r="P15" s="35"/>
      <c r="Q15" s="35"/>
      <c r="R15" s="35"/>
      <c r="S15" s="35"/>
      <c r="T15" s="36"/>
      <c r="U15" s="34"/>
      <c r="V15" s="34"/>
      <c r="W15" s="34"/>
      <c r="X15" s="37"/>
      <c r="Y15" s="34"/>
      <c r="Z15" s="34"/>
      <c r="AA15" s="34"/>
      <c r="AB15" s="34"/>
      <c r="AC15" s="34"/>
      <c r="AD15" s="34"/>
      <c r="AE15" s="34"/>
      <c r="AF15" s="34"/>
      <c r="AG15" s="39"/>
      <c r="AI15" s="32">
        <f t="shared" ref="AI15:AI18" si="1">F15+I15</f>
        <v>10</v>
      </c>
      <c r="AJ15" s="32">
        <f t="shared" ref="AJ15:AJ18" si="2">IF($C$7&lt;E15,0,MIN($C$7,F15)-E15+1)</f>
        <v>0</v>
      </c>
    </row>
    <row r="16" spans="1:36" x14ac:dyDescent="0.2">
      <c r="A16" s="30">
        <v>30</v>
      </c>
      <c r="B16" s="31" t="s">
        <v>20</v>
      </c>
      <c r="C16" s="32">
        <v>20</v>
      </c>
      <c r="D16" s="32">
        <v>3</v>
      </c>
      <c r="E16" s="32">
        <f>IF(ISBLANK(C16),$C$6,INDEX($AI$14:$AI$18,MATCH(C16,$A$14:$A$18,0))+1+$G16)</f>
        <v>11</v>
      </c>
      <c r="F16" s="32">
        <f t="shared" si="0"/>
        <v>13</v>
      </c>
      <c r="G16" s="32"/>
      <c r="H16" s="33"/>
      <c r="I16" s="33"/>
      <c r="J16" s="38"/>
      <c r="K16" s="34"/>
      <c r="L16" s="34"/>
      <c r="M16" s="35"/>
      <c r="N16" s="35"/>
      <c r="O16" s="35"/>
      <c r="P16" s="35"/>
      <c r="Q16" s="35"/>
      <c r="R16" s="35"/>
      <c r="S16" s="35"/>
      <c r="T16" s="36"/>
      <c r="U16" s="34"/>
      <c r="V16" s="34"/>
      <c r="W16" s="34"/>
      <c r="X16" s="37"/>
      <c r="Y16" s="34"/>
      <c r="Z16" s="34"/>
      <c r="AA16" s="34"/>
      <c r="AB16" s="34"/>
      <c r="AC16" s="34"/>
      <c r="AD16" s="34"/>
      <c r="AE16" s="34"/>
      <c r="AF16" s="34"/>
      <c r="AG16" s="39"/>
      <c r="AI16" s="32">
        <f t="shared" si="1"/>
        <v>13</v>
      </c>
      <c r="AJ16" s="32">
        <f t="shared" si="2"/>
        <v>0</v>
      </c>
    </row>
    <row r="17" spans="1:36" s="21" customFormat="1" x14ac:dyDescent="0.2">
      <c r="A17" s="30">
        <v>40</v>
      </c>
      <c r="B17" s="31" t="s">
        <v>21</v>
      </c>
      <c r="C17" s="32">
        <v>30</v>
      </c>
      <c r="D17" s="32">
        <v>4</v>
      </c>
      <c r="E17" s="32">
        <f>IF(ISBLANK(C17),$C$6,INDEX($AI$14:$AI$18,MATCH(C17,$A$14:$A$18,0))+1+$G17)</f>
        <v>14</v>
      </c>
      <c r="F17" s="32">
        <f t="shared" si="0"/>
        <v>17</v>
      </c>
      <c r="G17" s="32"/>
      <c r="H17" s="33"/>
      <c r="I17" s="33"/>
      <c r="J17" s="38"/>
      <c r="K17" s="34"/>
      <c r="L17" s="34"/>
      <c r="M17" s="35"/>
      <c r="N17" s="35"/>
      <c r="O17" s="35"/>
      <c r="P17" s="35"/>
      <c r="Q17" s="35"/>
      <c r="R17" s="35"/>
      <c r="S17" s="35"/>
      <c r="T17" s="36"/>
      <c r="U17" s="34"/>
      <c r="V17" s="34"/>
      <c r="W17" s="34"/>
      <c r="X17" s="37"/>
      <c r="Y17" s="34"/>
      <c r="Z17" s="34"/>
      <c r="AA17" s="34"/>
      <c r="AB17" s="34"/>
      <c r="AC17" s="34"/>
      <c r="AD17" s="34"/>
      <c r="AE17" s="34"/>
      <c r="AF17" s="34"/>
      <c r="AG17" s="39"/>
      <c r="AI17" s="32">
        <f t="shared" si="1"/>
        <v>17</v>
      </c>
      <c r="AJ17" s="32">
        <f t="shared" si="2"/>
        <v>0</v>
      </c>
    </row>
    <row r="18" spans="1:36" s="21" customFormat="1" x14ac:dyDescent="0.2">
      <c r="A18" s="30">
        <v>50</v>
      </c>
      <c r="B18" s="31" t="s">
        <v>22</v>
      </c>
      <c r="C18" s="32">
        <v>40</v>
      </c>
      <c r="D18" s="32">
        <v>4</v>
      </c>
      <c r="E18" s="32">
        <f>IF(ISBLANK(C18),$C$6,INDEX($AI$14:$AI$18,MATCH(C18,$A$14:$A$18,0))+1+$G18)</f>
        <v>18</v>
      </c>
      <c r="F18" s="32">
        <f t="shared" si="0"/>
        <v>21</v>
      </c>
      <c r="G18" s="32"/>
      <c r="H18" s="33"/>
      <c r="I18" s="33"/>
      <c r="J18" s="40"/>
      <c r="K18" s="41"/>
      <c r="L18" s="41"/>
      <c r="M18" s="42"/>
      <c r="N18" s="42"/>
      <c r="O18" s="42"/>
      <c r="P18" s="42"/>
      <c r="Q18" s="42"/>
      <c r="R18" s="42"/>
      <c r="S18" s="42"/>
      <c r="T18" s="43"/>
      <c r="U18" s="41"/>
      <c r="V18" s="41"/>
      <c r="W18" s="41"/>
      <c r="X18" s="44"/>
      <c r="Y18" s="41"/>
      <c r="Z18" s="41"/>
      <c r="AA18" s="41"/>
      <c r="AB18" s="41"/>
      <c r="AC18" s="41"/>
      <c r="AD18" s="41"/>
      <c r="AE18" s="41"/>
      <c r="AF18" s="41"/>
      <c r="AG18" s="45"/>
      <c r="AI18" s="32">
        <f t="shared" si="1"/>
        <v>21</v>
      </c>
      <c r="AJ18" s="32">
        <f t="shared" si="2"/>
        <v>0</v>
      </c>
    </row>
    <row r="21" spans="1:36" x14ac:dyDescent="0.2">
      <c r="C21" s="5" t="s">
        <v>58</v>
      </c>
      <c r="D21" s="5" t="s">
        <v>61</v>
      </c>
      <c r="E21" s="58" t="s">
        <v>35</v>
      </c>
      <c r="H21" s="1" t="s">
        <v>52</v>
      </c>
      <c r="I21" s="1"/>
    </row>
    <row r="22" spans="1:36" x14ac:dyDescent="0.2">
      <c r="A22" s="1" t="s">
        <v>26</v>
      </c>
      <c r="B22" s="3" t="s">
        <v>27</v>
      </c>
      <c r="C22" s="5">
        <f>SUM(D14:D18)*L8</f>
        <v>40</v>
      </c>
      <c r="D22" s="5">
        <f>S8/L8</f>
        <v>2.5</v>
      </c>
      <c r="E22" s="71">
        <f>D22*C22</f>
        <v>100</v>
      </c>
      <c r="F22" s="58"/>
      <c r="H22" s="22" t="str">
        <f>P8</f>
        <v>Рабочие</v>
      </c>
      <c r="I22" s="22"/>
      <c r="J22" s="22"/>
      <c r="K22" s="63">
        <f>(Q22-4)/4</f>
        <v>0</v>
      </c>
      <c r="L22" s="64"/>
      <c r="M22" s="64"/>
      <c r="Q22" s="3">
        <v>4</v>
      </c>
      <c r="AE22" s="22"/>
      <c r="AF22" s="22"/>
      <c r="AG22" s="22"/>
    </row>
    <row r="23" spans="1:36" x14ac:dyDescent="0.2">
      <c r="A23" s="1" t="s">
        <v>28</v>
      </c>
      <c r="B23" s="3" t="s">
        <v>29</v>
      </c>
      <c r="C23" s="5">
        <f>SUM(H14:H18)*L8</f>
        <v>4</v>
      </c>
      <c r="D23" s="5">
        <f>D22</f>
        <v>2.5</v>
      </c>
      <c r="E23" s="5">
        <f t="shared" ref="E23:E24" si="3">D23*C23</f>
        <v>10</v>
      </c>
      <c r="F23" s="58"/>
      <c r="H23" s="1"/>
      <c r="I23" s="1"/>
    </row>
    <row r="24" spans="1:36" x14ac:dyDescent="0.2">
      <c r="A24" s="1" t="s">
        <v>30</v>
      </c>
      <c r="B24" s="3" t="s">
        <v>31</v>
      </c>
      <c r="C24" s="5">
        <f>C23</f>
        <v>4</v>
      </c>
      <c r="D24" s="65">
        <f>AB8/L8</f>
        <v>2.5</v>
      </c>
      <c r="E24" s="5">
        <f t="shared" si="3"/>
        <v>10</v>
      </c>
      <c r="F24" s="58"/>
      <c r="H24" s="1"/>
      <c r="I24" s="1"/>
    </row>
    <row r="25" spans="1:36" x14ac:dyDescent="0.2">
      <c r="A25" s="1" t="s">
        <v>32</v>
      </c>
      <c r="B25" s="3" t="s">
        <v>33</v>
      </c>
      <c r="C25" s="5">
        <f>SUM(AJ14:AJ18)*L8</f>
        <v>4</v>
      </c>
      <c r="D25" s="5">
        <f>D22</f>
        <v>2.5</v>
      </c>
      <c r="E25" s="5">
        <f t="shared" ref="E25" si="4">D25*C25</f>
        <v>10</v>
      </c>
      <c r="F25" s="58"/>
      <c r="H25" s="1" t="s">
        <v>53</v>
      </c>
    </row>
    <row r="26" spans="1:36" x14ac:dyDescent="0.2">
      <c r="H26" s="62" t="s">
        <v>64</v>
      </c>
      <c r="P26" s="61" t="b">
        <v>1</v>
      </c>
      <c r="Q26" s="61"/>
      <c r="R26" s="61"/>
    </row>
    <row r="27" spans="1:36" x14ac:dyDescent="0.2">
      <c r="A27" s="1" t="s">
        <v>37</v>
      </c>
      <c r="B27" s="3" t="s">
        <v>38</v>
      </c>
      <c r="E27" s="5">
        <f>E23-E24</f>
        <v>0</v>
      </c>
      <c r="H27" s="62" t="s">
        <v>65</v>
      </c>
      <c r="P27" s="61" t="b">
        <v>1</v>
      </c>
      <c r="Q27" s="61"/>
      <c r="R27" s="61"/>
    </row>
    <row r="28" spans="1:36" x14ac:dyDescent="0.2">
      <c r="A28" s="1" t="s">
        <v>36</v>
      </c>
      <c r="B28" s="3" t="s">
        <v>39</v>
      </c>
      <c r="C28" s="5">
        <f>C25-C24</f>
        <v>0</v>
      </c>
      <c r="E28" s="5">
        <f>E23-E25</f>
        <v>0</v>
      </c>
    </row>
    <row r="29" spans="1:36" x14ac:dyDescent="0.2">
      <c r="A29" s="1" t="s">
        <v>40</v>
      </c>
      <c r="B29" s="3" t="s">
        <v>41</v>
      </c>
      <c r="E29" s="5">
        <f>E23/E24</f>
        <v>1</v>
      </c>
      <c r="H29" s="1" t="s">
        <v>51</v>
      </c>
    </row>
    <row r="30" spans="1:36" x14ac:dyDescent="0.2">
      <c r="A30" s="1" t="s">
        <v>42</v>
      </c>
      <c r="B30" s="3" t="s">
        <v>43</v>
      </c>
      <c r="E30" s="5">
        <f>E23/E25</f>
        <v>1</v>
      </c>
      <c r="H30" s="62" t="s">
        <v>48</v>
      </c>
      <c r="P30" s="61" t="b">
        <f>AND(P31,P32)</f>
        <v>1</v>
      </c>
      <c r="Q30" s="61"/>
      <c r="R30" s="61"/>
    </row>
    <row r="31" spans="1:36" x14ac:dyDescent="0.2">
      <c r="A31" s="1" t="s">
        <v>44</v>
      </c>
      <c r="B31" s="3" t="s">
        <v>45</v>
      </c>
      <c r="E31" s="5">
        <f>(E22-E23)/IF(P26,1,E29)</f>
        <v>90</v>
      </c>
      <c r="H31" s="58" t="s">
        <v>54</v>
      </c>
      <c r="P31" s="61" t="b">
        <f>E29=1</f>
        <v>1</v>
      </c>
      <c r="Q31" s="61"/>
      <c r="R31" s="61"/>
    </row>
    <row r="32" spans="1:36" x14ac:dyDescent="0.2">
      <c r="A32" s="1" t="s">
        <v>47</v>
      </c>
      <c r="B32" s="3" t="s">
        <v>46</v>
      </c>
      <c r="E32" s="72">
        <f>E31+E24</f>
        <v>100</v>
      </c>
      <c r="H32" s="58" t="s">
        <v>57</v>
      </c>
      <c r="P32" s="61" t="b">
        <f>E30=1</f>
        <v>1</v>
      </c>
      <c r="Q32" s="61"/>
      <c r="R32" s="61"/>
    </row>
    <row r="33" spans="8:17" x14ac:dyDescent="0.2">
      <c r="H33" s="58" t="s">
        <v>55</v>
      </c>
      <c r="P33" s="3">
        <f>(SUM(AJ14:AJ18)-SUM(H14:H18))*L8</f>
        <v>0</v>
      </c>
      <c r="Q33" s="3">
        <f>C25-C23</f>
        <v>0</v>
      </c>
    </row>
    <row r="34" spans="8:17" x14ac:dyDescent="0.2">
      <c r="H34" s="58" t="s">
        <v>63</v>
      </c>
      <c r="I34" s="1"/>
      <c r="P34" s="3">
        <f>C22-C23</f>
        <v>36</v>
      </c>
    </row>
    <row r="35" spans="8:17" x14ac:dyDescent="0.2">
      <c r="H35" s="58" t="s">
        <v>68</v>
      </c>
      <c r="I35" s="1"/>
      <c r="P35" s="3">
        <f>C7-C6+1</f>
        <v>2</v>
      </c>
    </row>
    <row r="36" spans="8:17" x14ac:dyDescent="0.2">
      <c r="H36" s="58" t="s">
        <v>66</v>
      </c>
      <c r="I36" s="1"/>
      <c r="P36" s="3">
        <f>(C22-C23)/L8/IF(P27,1,E30)</f>
        <v>18</v>
      </c>
    </row>
    <row r="37" spans="8:17" x14ac:dyDescent="0.2">
      <c r="H37" s="58" t="s">
        <v>74</v>
      </c>
      <c r="I37" s="1"/>
      <c r="P37" s="3">
        <f>P36+P35</f>
        <v>20</v>
      </c>
    </row>
  </sheetData>
  <conditionalFormatting sqref="J13:AG13">
    <cfRule type="expression" dxfId="23" priority="11">
      <formula>J$11=$C$7</formula>
    </cfRule>
  </conditionalFormatting>
  <conditionalFormatting sqref="J14:AG18">
    <cfRule type="expression" dxfId="22" priority="9">
      <formula>AND(J$11&gt;$F14,J$11&lt;=$F14+$I14)</formula>
    </cfRule>
    <cfRule type="expression" dxfId="21" priority="12" stopIfTrue="1">
      <formula>AND(J$11&gt;=$E14,J$11&lt;=$E14+$H14-1)</formula>
    </cfRule>
    <cfRule type="expression" dxfId="20" priority="13" stopIfTrue="1">
      <formula>AND(J$11&gt;=$E14,J$11&lt;=$F14)</formula>
    </cfRule>
  </conditionalFormatting>
  <conditionalFormatting sqref="H14:I18">
    <cfRule type="cellIs" dxfId="19" priority="10" operator="greaterThan">
      <formula>$D14</formula>
    </cfRule>
  </conditionalFormatting>
  <conditionalFormatting sqref="G14:G18">
    <cfRule type="expression" dxfId="18" priority="8">
      <formula>ISBLANK($C14)</formula>
    </cfRule>
  </conditionalFormatting>
  <conditionalFormatting sqref="P26:R27 P30:R32">
    <cfRule type="expression" dxfId="17" priority="22">
      <formula>$P26=TRUE</formula>
    </cfRule>
  </conditionalFormatting>
  <conditionalFormatting sqref="K22:M22">
    <cfRule type="expression" dxfId="16" priority="24">
      <formula>$K22&gt;0</formula>
    </cfRule>
  </conditionalFormatting>
  <dataValidations count="1">
    <dataValidation type="list" allowBlank="1" showInputMessage="1" showErrorMessage="1" sqref="P26:P27">
      <formula1>"ИСТИНА,ЛОЖЬ"</formula1>
    </dataValidation>
  </dataValidations>
  <hyperlinks>
    <hyperlink ref="A1:H1" r:id="rId1" display="Файл скачан с сайта excel2.ru &gt;&gt;&gt;"/>
    <hyperlink ref="J1" r:id="rId2" display="Файл скачан с сайта excel2.ru &gt;&gt;&gt;"/>
    <hyperlink ref="L1" r:id="rId3" display="Файл скачан с сайта excel2.ru &gt;&gt;&gt;"/>
    <hyperlink ref="M1" r:id="rId4" display="Файл скачан с сайта excel2.ru &gt;&gt;&gt;"/>
    <hyperlink ref="N1" r:id="rId5" display="Файл скачан с сайта excel2.ru &gt;&gt;&gt;"/>
    <hyperlink ref="O1" r:id="rId6" display="Файл скачан с сайта excel2.ru &gt;&gt;&gt;"/>
    <hyperlink ref="P1" r:id="rId7" display="Файл скачан с сайта excel2.ru &gt;&gt;&gt;"/>
    <hyperlink ref="Q1" r:id="rId8" display="Файл скачан с сайта excel2.ru &gt;&gt;&gt;"/>
    <hyperlink ref="R1" r:id="rId9" display="Файл скачан с сайта excel2.ru &gt;&gt;&gt;"/>
    <hyperlink ref="S1" r:id="rId10" display="Файл скачан с сайта excel2.ru &gt;&gt;&gt;"/>
    <hyperlink ref="T1" r:id="rId11" display="Файл скачан с сайта excel2.ru &gt;&gt;&gt;"/>
    <hyperlink ref="U1" r:id="rId12" display="Файл скачан с сайта excel2.ru &gt;&gt;&gt;"/>
    <hyperlink ref="V1" r:id="rId13" display="Файл скачан с сайта excel2.ru &gt;&gt;&gt;"/>
    <hyperlink ref="W1" r:id="rId14" display="Файл скачан с сайта excel2.ru &gt;&gt;&gt;"/>
    <hyperlink ref="A2" r:id="rId15"/>
    <hyperlink ref="X1" r:id="rId16" display="Файл скачан с сайта excel2.ru &gt;&gt;&gt;"/>
    <hyperlink ref="Y1" r:id="rId17" display="Файл скачан с сайта excel2.ru &gt;&gt;&gt;"/>
    <hyperlink ref="Z1" r:id="rId18" display="Файл скачан с сайта excel2.ru &gt;&gt;&gt;"/>
    <hyperlink ref="AA1" r:id="rId19" display="Файл скачан с сайта excel2.ru &gt;&gt;&gt;"/>
    <hyperlink ref="AB1" r:id="rId20" display="Файл скачан с сайта excel2.ru &gt;&gt;&gt;"/>
    <hyperlink ref="AC1" r:id="rId21" display="Файл скачан с сайта excel2.ru &gt;&gt;&gt;"/>
    <hyperlink ref="AD1" r:id="rId22" display="Файл скачан с сайта excel2.ru &gt;&gt;&gt;"/>
    <hyperlink ref="AE1" r:id="rId23" display="Файл скачан с сайта excel2.ru &gt;&gt;&gt;"/>
    <hyperlink ref="AF1" r:id="rId24" display="Файл скачан с сайта excel2.ru &gt;&gt;&gt;"/>
    <hyperlink ref="AG1" r:id="rId25" display="Файл скачан с сайта excel2.ru &gt;&gt;&gt;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26"/>
  <headerFooter alignWithMargins="0">
    <oddFooter>&amp;C&amp;12Страница &amp;P из &amp;N</oddFooter>
  </headerFooter>
  <drawing r:id="rId27"/>
  <legacyDrawing r:id="rId2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29" name="Spinner 6">
              <controlPr defaultSize="0" autoPict="0">
                <anchor moveWithCells="1" sizeWithCells="1">
                  <from>
                    <xdr:col>1</xdr:col>
                    <xdr:colOff>1685925</xdr:colOff>
                    <xdr:row>7</xdr:row>
                    <xdr:rowOff>47625</xdr:rowOff>
                  </from>
                  <to>
                    <xdr:col>1</xdr:col>
                    <xdr:colOff>2352675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30" name="Scroll Bar 8">
              <controlPr defaultSize="0" autoPict="0">
                <anchor moveWithCells="1">
                  <from>
                    <xdr:col>13</xdr:col>
                    <xdr:colOff>9525</xdr:colOff>
                    <xdr:row>21</xdr:row>
                    <xdr:rowOff>9525</xdr:rowOff>
                  </from>
                  <to>
                    <xdr:col>16</xdr:col>
                    <xdr:colOff>19050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7"/>
  <sheetViews>
    <sheetView zoomScale="85" zoomScaleNormal="85" zoomScaleSheetLayoutView="40" workbookViewId="0">
      <selection activeCell="E32" sqref="E32"/>
    </sheetView>
  </sheetViews>
  <sheetFormatPr defaultRowHeight="15" x14ac:dyDescent="0.2"/>
  <cols>
    <col min="1" max="1" width="20.28515625" style="1" customWidth="1"/>
    <col min="2" max="2" width="36.140625" style="1" bestFit="1" customWidth="1"/>
    <col min="3" max="3" width="9.5703125" style="5" bestFit="1" customWidth="1"/>
    <col min="4" max="4" width="8.42578125" style="5" bestFit="1" customWidth="1"/>
    <col min="5" max="9" width="5" style="5" customWidth="1"/>
    <col min="10" max="18" width="4.28515625" style="1" customWidth="1"/>
    <col min="19" max="19" width="4.7109375" style="1" customWidth="1"/>
    <col min="20" max="33" width="4.28515625" style="1" customWidth="1"/>
    <col min="34" max="34" width="2.85546875" style="1" customWidth="1"/>
    <col min="35" max="35" width="12" style="1" bestFit="1" customWidth="1"/>
    <col min="36" max="41" width="9.140625" style="1"/>
    <col min="42" max="42" width="4.140625" style="1" customWidth="1"/>
    <col min="43" max="272" width="9.140625" style="1"/>
    <col min="273" max="273" width="10" style="1" customWidth="1"/>
    <col min="274" max="353" width="9.140625" style="1"/>
    <col min="354" max="354" width="8.5703125" style="1" customWidth="1"/>
    <col min="355" max="16384" width="9.140625" style="1"/>
  </cols>
  <sheetData>
    <row r="1" spans="1:36" ht="25.5" x14ac:dyDescent="0.2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6" ht="15.75" x14ac:dyDescent="0.25">
      <c r="A2" s="55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6" ht="18" x14ac:dyDescent="0.2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6" x14ac:dyDescent="0.2">
      <c r="A4" s="12" t="s">
        <v>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6" spans="1:36" ht="30" x14ac:dyDescent="0.2">
      <c r="A6" s="14" t="s">
        <v>13</v>
      </c>
      <c r="B6" s="15">
        <v>44593</v>
      </c>
      <c r="C6" s="1">
        <f>MONTH(B6)</f>
        <v>2</v>
      </c>
    </row>
    <row r="7" spans="1:36" x14ac:dyDescent="0.2">
      <c r="A7" s="16" t="s">
        <v>5</v>
      </c>
      <c r="B7" s="59">
        <f>EOMONTH(B6,C7-C6)</f>
        <v>44712</v>
      </c>
      <c r="C7" s="17">
        <v>5</v>
      </c>
      <c r="I7" s="1"/>
      <c r="M7" s="69" t="s">
        <v>56</v>
      </c>
      <c r="P7" s="68" t="s">
        <v>59</v>
      </c>
      <c r="AB7" s="68" t="s">
        <v>60</v>
      </c>
    </row>
    <row r="8" spans="1:36" x14ac:dyDescent="0.2">
      <c r="A8" s="74" t="s">
        <v>67</v>
      </c>
      <c r="L8" s="57">
        <v>10</v>
      </c>
      <c r="M8" s="56" t="s">
        <v>23</v>
      </c>
      <c r="P8" s="68" t="s">
        <v>24</v>
      </c>
      <c r="S8" s="57">
        <v>5</v>
      </c>
      <c r="T8" s="3" t="s">
        <v>50</v>
      </c>
      <c r="Y8" s="60"/>
      <c r="AB8" s="66">
        <f>S8*(1+K22)</f>
        <v>3.75</v>
      </c>
      <c r="AC8" s="60"/>
    </row>
    <row r="9" spans="1:36" ht="45" customHeight="1" x14ac:dyDescent="0.35">
      <c r="B9" s="18" t="s">
        <v>69</v>
      </c>
      <c r="C9" s="4"/>
      <c r="D9" s="4"/>
      <c r="E9" s="4"/>
      <c r="F9" s="4"/>
      <c r="G9" s="4"/>
      <c r="H9" s="4"/>
      <c r="I9" s="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6" x14ac:dyDescent="0.2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6" ht="24" customHeight="1" x14ac:dyDescent="0.2">
      <c r="C11" s="4"/>
      <c r="D11" s="4"/>
      <c r="E11" s="4"/>
      <c r="F11" s="4"/>
      <c r="G11" s="4"/>
      <c r="H11" s="4"/>
      <c r="I11" s="4"/>
      <c r="J11" s="20">
        <v>1</v>
      </c>
      <c r="K11" s="20">
        <v>2</v>
      </c>
      <c r="L11" s="20">
        <v>3</v>
      </c>
      <c r="M11" s="20">
        <v>4</v>
      </c>
      <c r="N11" s="20">
        <v>5</v>
      </c>
      <c r="O11" s="20">
        <v>6</v>
      </c>
      <c r="P11" s="20">
        <v>7</v>
      </c>
      <c r="Q11" s="20">
        <v>8</v>
      </c>
      <c r="R11" s="20">
        <v>9</v>
      </c>
      <c r="S11" s="20">
        <v>10</v>
      </c>
      <c r="T11" s="20">
        <v>11</v>
      </c>
      <c r="U11" s="20">
        <v>12</v>
      </c>
      <c r="V11" s="20">
        <v>13</v>
      </c>
      <c r="W11" s="20">
        <v>14</v>
      </c>
      <c r="X11" s="20">
        <v>15</v>
      </c>
      <c r="Y11" s="20">
        <v>16</v>
      </c>
      <c r="Z11" s="20">
        <v>17</v>
      </c>
      <c r="AA11" s="20">
        <v>18</v>
      </c>
      <c r="AB11" s="20">
        <v>19</v>
      </c>
      <c r="AC11" s="20">
        <v>20</v>
      </c>
      <c r="AD11" s="20">
        <v>21</v>
      </c>
      <c r="AE11" s="20">
        <v>22</v>
      </c>
      <c r="AF11" s="20">
        <v>23</v>
      </c>
      <c r="AG11" s="20">
        <v>24</v>
      </c>
    </row>
    <row r="12" spans="1:36" ht="15.75" x14ac:dyDescent="0.2">
      <c r="B12" s="2"/>
      <c r="C12" s="4"/>
      <c r="D12" s="4"/>
      <c r="E12" s="4"/>
      <c r="F12" s="4"/>
      <c r="G12" s="4"/>
      <c r="H12" s="4"/>
      <c r="I12" s="4"/>
      <c r="J12" s="27">
        <f>YEAR(B6)</f>
        <v>2022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>
        <f>J12+1</f>
        <v>2023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6" ht="22.5" x14ac:dyDescent="0.2">
      <c r="A13" s="54" t="s">
        <v>11</v>
      </c>
      <c r="B13" s="28" t="s">
        <v>8</v>
      </c>
      <c r="C13" s="52" t="s">
        <v>12</v>
      </c>
      <c r="D13" s="52" t="s">
        <v>6</v>
      </c>
      <c r="E13" s="29" t="s">
        <v>0</v>
      </c>
      <c r="F13" s="29" t="s">
        <v>7</v>
      </c>
      <c r="G13" s="52" t="s">
        <v>1</v>
      </c>
      <c r="H13" s="53" t="s">
        <v>14</v>
      </c>
      <c r="I13" s="53" t="s">
        <v>15</v>
      </c>
      <c r="J13" s="25">
        <v>1</v>
      </c>
      <c r="K13" s="25">
        <v>2</v>
      </c>
      <c r="L13" s="25">
        <v>3</v>
      </c>
      <c r="M13" s="25">
        <v>4</v>
      </c>
      <c r="N13" s="25">
        <v>5</v>
      </c>
      <c r="O13" s="25">
        <v>6</v>
      </c>
      <c r="P13" s="25">
        <v>7</v>
      </c>
      <c r="Q13" s="25">
        <v>8</v>
      </c>
      <c r="R13" s="25">
        <v>9</v>
      </c>
      <c r="S13" s="25">
        <v>10</v>
      </c>
      <c r="T13" s="25">
        <v>11</v>
      </c>
      <c r="U13" s="25">
        <v>12</v>
      </c>
      <c r="V13" s="25">
        <v>1</v>
      </c>
      <c r="W13" s="25">
        <v>2</v>
      </c>
      <c r="X13" s="25">
        <v>3</v>
      </c>
      <c r="Y13" s="25">
        <v>4</v>
      </c>
      <c r="Z13" s="25">
        <v>5</v>
      </c>
      <c r="AA13" s="26">
        <v>6</v>
      </c>
      <c r="AB13" s="26">
        <v>7</v>
      </c>
      <c r="AC13" s="26">
        <v>8</v>
      </c>
      <c r="AD13" s="26">
        <v>9</v>
      </c>
      <c r="AE13" s="26">
        <v>10</v>
      </c>
      <c r="AF13" s="26">
        <v>11</v>
      </c>
      <c r="AG13" s="26">
        <v>12</v>
      </c>
      <c r="AI13" s="29" t="s">
        <v>16</v>
      </c>
      <c r="AJ13" s="29" t="s">
        <v>34</v>
      </c>
    </row>
    <row r="14" spans="1:36" ht="15" customHeight="1" x14ac:dyDescent="0.2">
      <c r="A14" s="30">
        <v>10</v>
      </c>
      <c r="B14" s="31" t="s">
        <v>18</v>
      </c>
      <c r="C14" s="32"/>
      <c r="D14" s="32">
        <v>4</v>
      </c>
      <c r="E14" s="32">
        <f>IF(ISBLANK(C14),$C$6,INDEX($AI$14:$AI$18,MATCH(C14,$A$14:$A$18,0))+1+$G14)</f>
        <v>2</v>
      </c>
      <c r="F14" s="32">
        <f>E14+D14-1</f>
        <v>5</v>
      </c>
      <c r="G14" s="32"/>
      <c r="H14" s="33">
        <v>2</v>
      </c>
      <c r="I14" s="33"/>
      <c r="J14" s="46"/>
      <c r="K14" s="47"/>
      <c r="L14" s="47"/>
      <c r="M14" s="48"/>
      <c r="N14" s="48"/>
      <c r="O14" s="48"/>
      <c r="P14" s="48"/>
      <c r="Q14" s="48"/>
      <c r="R14" s="48"/>
      <c r="S14" s="48"/>
      <c r="T14" s="49"/>
      <c r="U14" s="47"/>
      <c r="V14" s="47"/>
      <c r="W14" s="47"/>
      <c r="X14" s="50"/>
      <c r="Y14" s="47"/>
      <c r="Z14" s="47"/>
      <c r="AA14" s="47"/>
      <c r="AB14" s="47"/>
      <c r="AC14" s="47"/>
      <c r="AD14" s="47"/>
      <c r="AE14" s="47"/>
      <c r="AF14" s="47"/>
      <c r="AG14" s="51"/>
      <c r="AI14" s="32">
        <f>F14+I14</f>
        <v>5</v>
      </c>
      <c r="AJ14" s="32">
        <f>IF($C$7&lt;E14,0,MIN($C$7,F14)-E14+1)</f>
        <v>4</v>
      </c>
    </row>
    <row r="15" spans="1:36" x14ac:dyDescent="0.2">
      <c r="A15" s="30">
        <v>20</v>
      </c>
      <c r="B15" s="31" t="s">
        <v>19</v>
      </c>
      <c r="C15" s="32">
        <v>10</v>
      </c>
      <c r="D15" s="32">
        <v>5</v>
      </c>
      <c r="E15" s="32">
        <f>IF(ISBLANK(C15),$C$6,INDEX($AI$14:$AI$18,MATCH(C15,$A$14:$A$18,0))+1+$G15)</f>
        <v>6</v>
      </c>
      <c r="F15" s="32">
        <f t="shared" ref="F15:F18" si="0">E15+D15-1</f>
        <v>10</v>
      </c>
      <c r="G15" s="32"/>
      <c r="H15" s="33"/>
      <c r="I15" s="33"/>
      <c r="J15" s="38"/>
      <c r="K15" s="34"/>
      <c r="L15" s="34"/>
      <c r="M15" s="35"/>
      <c r="N15" s="35"/>
      <c r="O15" s="35"/>
      <c r="P15" s="35"/>
      <c r="Q15" s="35"/>
      <c r="R15" s="35"/>
      <c r="S15" s="35"/>
      <c r="T15" s="36"/>
      <c r="U15" s="34"/>
      <c r="V15" s="34"/>
      <c r="W15" s="34"/>
      <c r="X15" s="37"/>
      <c r="Y15" s="34"/>
      <c r="Z15" s="34"/>
      <c r="AA15" s="34"/>
      <c r="AB15" s="34"/>
      <c r="AC15" s="34"/>
      <c r="AD15" s="34"/>
      <c r="AE15" s="34"/>
      <c r="AF15" s="34"/>
      <c r="AG15" s="39"/>
      <c r="AI15" s="32">
        <f t="shared" ref="AI15:AI18" si="1">F15+I15</f>
        <v>10</v>
      </c>
      <c r="AJ15" s="32">
        <f t="shared" ref="AJ15:AJ18" si="2">IF($C$7&lt;E15,0,MIN($C$7,F15)-E15+1)</f>
        <v>0</v>
      </c>
    </row>
    <row r="16" spans="1:36" x14ac:dyDescent="0.2">
      <c r="A16" s="30">
        <v>30</v>
      </c>
      <c r="B16" s="31" t="s">
        <v>20</v>
      </c>
      <c r="C16" s="32">
        <v>20</v>
      </c>
      <c r="D16" s="32">
        <v>3</v>
      </c>
      <c r="E16" s="32">
        <f>IF(ISBLANK(C16),$C$6,INDEX($AI$14:$AI$18,MATCH(C16,$A$14:$A$18,0))+1+$G16)</f>
        <v>11</v>
      </c>
      <c r="F16" s="32">
        <f t="shared" si="0"/>
        <v>13</v>
      </c>
      <c r="G16" s="32"/>
      <c r="H16" s="33"/>
      <c r="I16" s="33"/>
      <c r="J16" s="38"/>
      <c r="K16" s="34"/>
      <c r="L16" s="34"/>
      <c r="M16" s="35"/>
      <c r="N16" s="35"/>
      <c r="O16" s="35"/>
      <c r="P16" s="35"/>
      <c r="Q16" s="35"/>
      <c r="R16" s="35"/>
      <c r="S16" s="35"/>
      <c r="T16" s="36"/>
      <c r="U16" s="34"/>
      <c r="V16" s="34"/>
      <c r="W16" s="34"/>
      <c r="X16" s="37"/>
      <c r="Y16" s="34"/>
      <c r="Z16" s="34"/>
      <c r="AA16" s="34"/>
      <c r="AB16" s="34"/>
      <c r="AC16" s="34"/>
      <c r="AD16" s="34"/>
      <c r="AE16" s="34"/>
      <c r="AF16" s="34"/>
      <c r="AG16" s="39"/>
      <c r="AI16" s="32">
        <f t="shared" si="1"/>
        <v>13</v>
      </c>
      <c r="AJ16" s="32">
        <f t="shared" si="2"/>
        <v>0</v>
      </c>
    </row>
    <row r="17" spans="1:36" s="21" customFormat="1" x14ac:dyDescent="0.2">
      <c r="A17" s="30">
        <v>40</v>
      </c>
      <c r="B17" s="31" t="s">
        <v>21</v>
      </c>
      <c r="C17" s="32">
        <v>30</v>
      </c>
      <c r="D17" s="32">
        <v>4</v>
      </c>
      <c r="E17" s="32">
        <f>IF(ISBLANK(C17),$C$6,INDEX($AI$14:$AI$18,MATCH(C17,$A$14:$A$18,0))+1+$G17)</f>
        <v>14</v>
      </c>
      <c r="F17" s="32">
        <f t="shared" si="0"/>
        <v>17</v>
      </c>
      <c r="G17" s="32"/>
      <c r="H17" s="33"/>
      <c r="I17" s="33"/>
      <c r="J17" s="38"/>
      <c r="K17" s="34"/>
      <c r="L17" s="34"/>
      <c r="M17" s="35"/>
      <c r="N17" s="35"/>
      <c r="O17" s="35"/>
      <c r="P17" s="35"/>
      <c r="Q17" s="35"/>
      <c r="R17" s="35"/>
      <c r="S17" s="35"/>
      <c r="T17" s="36"/>
      <c r="U17" s="34"/>
      <c r="V17" s="34"/>
      <c r="W17" s="34"/>
      <c r="X17" s="37"/>
      <c r="Y17" s="34"/>
      <c r="Z17" s="34"/>
      <c r="AA17" s="34"/>
      <c r="AB17" s="34"/>
      <c r="AC17" s="34"/>
      <c r="AD17" s="34"/>
      <c r="AE17" s="34"/>
      <c r="AF17" s="34"/>
      <c r="AG17" s="39"/>
      <c r="AI17" s="32">
        <f t="shared" si="1"/>
        <v>17</v>
      </c>
      <c r="AJ17" s="32">
        <f t="shared" si="2"/>
        <v>0</v>
      </c>
    </row>
    <row r="18" spans="1:36" s="21" customFormat="1" x14ac:dyDescent="0.2">
      <c r="A18" s="30">
        <v>50</v>
      </c>
      <c r="B18" s="31" t="s">
        <v>22</v>
      </c>
      <c r="C18" s="32">
        <v>40</v>
      </c>
      <c r="D18" s="32">
        <v>4</v>
      </c>
      <c r="E18" s="32">
        <f>IF(ISBLANK(C18),$C$6,INDEX($AI$14:$AI$18,MATCH(C18,$A$14:$A$18,0))+1+$G18)</f>
        <v>18</v>
      </c>
      <c r="F18" s="32">
        <f t="shared" si="0"/>
        <v>21</v>
      </c>
      <c r="G18" s="32"/>
      <c r="H18" s="33"/>
      <c r="I18" s="33"/>
      <c r="J18" s="40"/>
      <c r="K18" s="41"/>
      <c r="L18" s="41"/>
      <c r="M18" s="42"/>
      <c r="N18" s="42"/>
      <c r="O18" s="42"/>
      <c r="P18" s="42"/>
      <c r="Q18" s="42"/>
      <c r="R18" s="42"/>
      <c r="S18" s="42"/>
      <c r="T18" s="43"/>
      <c r="U18" s="41"/>
      <c r="V18" s="41"/>
      <c r="W18" s="41"/>
      <c r="X18" s="44"/>
      <c r="Y18" s="41"/>
      <c r="Z18" s="41"/>
      <c r="AA18" s="41"/>
      <c r="AB18" s="41"/>
      <c r="AC18" s="41"/>
      <c r="AD18" s="41"/>
      <c r="AE18" s="41"/>
      <c r="AF18" s="41"/>
      <c r="AG18" s="45"/>
      <c r="AI18" s="32">
        <f t="shared" si="1"/>
        <v>21</v>
      </c>
      <c r="AJ18" s="32">
        <f t="shared" si="2"/>
        <v>0</v>
      </c>
    </row>
    <row r="21" spans="1:36" x14ac:dyDescent="0.2">
      <c r="C21" s="5" t="s">
        <v>58</v>
      </c>
      <c r="D21" s="5" t="s">
        <v>61</v>
      </c>
      <c r="E21" s="58" t="s">
        <v>35</v>
      </c>
      <c r="H21" s="1" t="s">
        <v>52</v>
      </c>
      <c r="I21" s="1"/>
    </row>
    <row r="22" spans="1:36" x14ac:dyDescent="0.2">
      <c r="A22" s="1" t="s">
        <v>26</v>
      </c>
      <c r="B22" s="3" t="s">
        <v>27</v>
      </c>
      <c r="C22" s="5">
        <f>SUM(D14:D18)*L8</f>
        <v>200</v>
      </c>
      <c r="D22" s="5">
        <f>S8/L8</f>
        <v>0.5</v>
      </c>
      <c r="E22" s="71">
        <f>D22*C22</f>
        <v>100</v>
      </c>
      <c r="F22" s="58"/>
      <c r="H22" s="22" t="str">
        <f>P8</f>
        <v>Техника</v>
      </c>
      <c r="I22" s="1"/>
      <c r="K22" s="63">
        <f>(Q22-4)/4</f>
        <v>-0.25</v>
      </c>
      <c r="L22" s="64"/>
      <c r="M22" s="64"/>
      <c r="Q22" s="3">
        <v>3</v>
      </c>
      <c r="AE22" s="22"/>
      <c r="AF22" s="22"/>
      <c r="AG22" s="22"/>
    </row>
    <row r="23" spans="1:36" x14ac:dyDescent="0.2">
      <c r="A23" s="1" t="s">
        <v>28</v>
      </c>
      <c r="B23" s="3" t="s">
        <v>29</v>
      </c>
      <c r="C23" s="5">
        <f>SUM(H14:H18)*L8</f>
        <v>20</v>
      </c>
      <c r="D23" s="5">
        <f>D22</f>
        <v>0.5</v>
      </c>
      <c r="E23" s="5">
        <f t="shared" ref="E23:E25" si="3">D23*C23</f>
        <v>10</v>
      </c>
      <c r="F23" s="58"/>
      <c r="H23" s="1"/>
      <c r="I23" s="1"/>
      <c r="X23" s="22"/>
    </row>
    <row r="24" spans="1:36" x14ac:dyDescent="0.2">
      <c r="A24" s="1" t="s">
        <v>30</v>
      </c>
      <c r="B24" s="3" t="s">
        <v>31</v>
      </c>
      <c r="C24" s="5">
        <f>C23</f>
        <v>20</v>
      </c>
      <c r="D24" s="65">
        <f>AB8/L8</f>
        <v>0.375</v>
      </c>
      <c r="E24" s="73">
        <f t="shared" si="3"/>
        <v>7.5</v>
      </c>
      <c r="F24" s="58">
        <f>P35*D24*L8</f>
        <v>15</v>
      </c>
      <c r="H24" s="1"/>
      <c r="I24" s="1"/>
    </row>
    <row r="25" spans="1:36" x14ac:dyDescent="0.2">
      <c r="A25" s="1" t="s">
        <v>32</v>
      </c>
      <c r="B25" s="3" t="s">
        <v>33</v>
      </c>
      <c r="C25" s="5">
        <f>SUM(AJ14:AJ18)*L8</f>
        <v>40</v>
      </c>
      <c r="D25" s="5">
        <f>D22</f>
        <v>0.5</v>
      </c>
      <c r="E25" s="5">
        <f t="shared" si="3"/>
        <v>20</v>
      </c>
      <c r="F25" s="58"/>
      <c r="H25" s="1" t="s">
        <v>53</v>
      </c>
    </row>
    <row r="26" spans="1:36" x14ac:dyDescent="0.2">
      <c r="H26" s="62" t="s">
        <v>64</v>
      </c>
      <c r="P26" s="61" t="b">
        <v>0</v>
      </c>
      <c r="Q26" s="61"/>
      <c r="R26" s="61"/>
    </row>
    <row r="27" spans="1:36" x14ac:dyDescent="0.2">
      <c r="A27" s="1" t="s">
        <v>37</v>
      </c>
      <c r="B27" s="3" t="s">
        <v>38</v>
      </c>
      <c r="E27" s="5">
        <f>E23-E24</f>
        <v>2.5</v>
      </c>
      <c r="H27" s="62" t="s">
        <v>65</v>
      </c>
      <c r="P27" s="61" t="b">
        <v>0</v>
      </c>
      <c r="Q27" s="61"/>
      <c r="R27" s="61"/>
    </row>
    <row r="28" spans="1:36" x14ac:dyDescent="0.2">
      <c r="A28" s="1" t="s">
        <v>36</v>
      </c>
      <c r="B28" s="3" t="s">
        <v>39</v>
      </c>
      <c r="C28" s="5">
        <f>C25-C24</f>
        <v>20</v>
      </c>
      <c r="E28" s="5">
        <f>E23-E25</f>
        <v>-10</v>
      </c>
    </row>
    <row r="29" spans="1:36" x14ac:dyDescent="0.2">
      <c r="A29" s="1" t="s">
        <v>40</v>
      </c>
      <c r="B29" s="3" t="s">
        <v>41</v>
      </c>
      <c r="E29" s="5">
        <f>E23/E24</f>
        <v>1.3333333333333333</v>
      </c>
      <c r="H29" s="1" t="s">
        <v>51</v>
      </c>
    </row>
    <row r="30" spans="1:36" x14ac:dyDescent="0.2">
      <c r="A30" s="1" t="s">
        <v>42</v>
      </c>
      <c r="B30" s="3" t="s">
        <v>43</v>
      </c>
      <c r="E30" s="5">
        <f>E23/E25</f>
        <v>0.5</v>
      </c>
      <c r="H30" s="62" t="s">
        <v>48</v>
      </c>
      <c r="P30" s="61" t="b">
        <f>AND(P31,P32)</f>
        <v>0</v>
      </c>
      <c r="Q30" s="61"/>
      <c r="R30" s="61"/>
    </row>
    <row r="31" spans="1:36" x14ac:dyDescent="0.2">
      <c r="A31" s="1" t="s">
        <v>44</v>
      </c>
      <c r="B31" s="3" t="s">
        <v>45</v>
      </c>
      <c r="E31" s="5">
        <f>(E22-E23)/IF(P26,1,E29)/IF(P27,1,E30)</f>
        <v>135</v>
      </c>
      <c r="H31" s="58" t="s">
        <v>54</v>
      </c>
      <c r="P31" s="61" t="b">
        <f>E29=1</f>
        <v>0</v>
      </c>
      <c r="Q31" s="61"/>
      <c r="R31" s="61"/>
    </row>
    <row r="32" spans="1:36" x14ac:dyDescent="0.2">
      <c r="A32" s="1" t="s">
        <v>47</v>
      </c>
      <c r="B32" s="3" t="s">
        <v>46</v>
      </c>
      <c r="E32" s="72">
        <f>E31+F24</f>
        <v>150</v>
      </c>
      <c r="H32" s="58" t="s">
        <v>57</v>
      </c>
      <c r="P32" s="61" t="b">
        <f>E30=1</f>
        <v>0</v>
      </c>
      <c r="Q32" s="61"/>
      <c r="R32" s="61"/>
    </row>
    <row r="33" spans="8:17" x14ac:dyDescent="0.2">
      <c r="H33" s="58" t="s">
        <v>55</v>
      </c>
      <c r="P33" s="3">
        <f>(SUM(AJ14:AJ18)-SUM(H14:H18))*L8</f>
        <v>20</v>
      </c>
      <c r="Q33" s="3">
        <f>C25-C23</f>
        <v>20</v>
      </c>
    </row>
    <row r="34" spans="8:17" x14ac:dyDescent="0.2">
      <c r="H34" s="58" t="s">
        <v>63</v>
      </c>
      <c r="I34" s="1"/>
      <c r="P34" s="3">
        <f>C22-C23</f>
        <v>180</v>
      </c>
    </row>
    <row r="35" spans="8:17" x14ac:dyDescent="0.2">
      <c r="H35" s="58" t="s">
        <v>68</v>
      </c>
      <c r="I35" s="1"/>
      <c r="P35" s="3">
        <f>C7-C6+1</f>
        <v>4</v>
      </c>
    </row>
    <row r="36" spans="8:17" x14ac:dyDescent="0.2">
      <c r="H36" s="58" t="s">
        <v>66</v>
      </c>
      <c r="I36" s="1"/>
      <c r="P36" s="3">
        <f>(C22-C23)/L8/IF(P27,1,E30)</f>
        <v>36</v>
      </c>
    </row>
    <row r="37" spans="8:17" x14ac:dyDescent="0.2">
      <c r="H37" s="58" t="s">
        <v>74</v>
      </c>
      <c r="I37" s="1"/>
      <c r="P37" s="3">
        <f>P36+P35</f>
        <v>40</v>
      </c>
    </row>
  </sheetData>
  <conditionalFormatting sqref="J13:AG13">
    <cfRule type="expression" dxfId="15" priority="4">
      <formula>J$11=$C$7</formula>
    </cfRule>
  </conditionalFormatting>
  <conditionalFormatting sqref="J14:AG18">
    <cfRule type="expression" dxfId="14" priority="2">
      <formula>AND(J$11&gt;$F14,J$11&lt;=$F14+$I14)</formula>
    </cfRule>
    <cfRule type="expression" dxfId="13" priority="5" stopIfTrue="1">
      <formula>AND(J$11&gt;=$E14,J$11&lt;=$E14+$H14-1)</formula>
    </cfRule>
    <cfRule type="expression" dxfId="12" priority="6" stopIfTrue="1">
      <formula>AND(J$11&gt;=$E14,J$11&lt;=$F14)</formula>
    </cfRule>
  </conditionalFormatting>
  <conditionalFormatting sqref="H14:I18">
    <cfRule type="cellIs" dxfId="11" priority="3" operator="greaterThan">
      <formula>$D14</formula>
    </cfRule>
  </conditionalFormatting>
  <conditionalFormatting sqref="G14:G18">
    <cfRule type="expression" dxfId="10" priority="1">
      <formula>ISBLANK($C14)</formula>
    </cfRule>
  </conditionalFormatting>
  <conditionalFormatting sqref="P26:R27 P30:R32">
    <cfRule type="expression" dxfId="1" priority="25">
      <formula>$P26=TRUE</formula>
    </cfRule>
  </conditionalFormatting>
  <conditionalFormatting sqref="K22:M22">
    <cfRule type="expression" dxfId="0" priority="27">
      <formula>$K22&gt;0</formula>
    </cfRule>
  </conditionalFormatting>
  <dataValidations count="1">
    <dataValidation type="list" allowBlank="1" showInputMessage="1" showErrorMessage="1" sqref="P26:P27">
      <formula1>"ИСТИНА,ЛОЖЬ"</formula1>
    </dataValidation>
  </dataValidations>
  <hyperlinks>
    <hyperlink ref="A1:H1" r:id="rId1" display="Файл скачан с сайта excel2.ru &gt;&gt;&gt;"/>
    <hyperlink ref="J1" r:id="rId2" display="Файл скачан с сайта excel2.ru &gt;&gt;&gt;"/>
    <hyperlink ref="L1" r:id="rId3" display="Файл скачан с сайта excel2.ru &gt;&gt;&gt;"/>
    <hyperlink ref="M1" r:id="rId4" display="Файл скачан с сайта excel2.ru &gt;&gt;&gt;"/>
    <hyperlink ref="N1" r:id="rId5" display="Файл скачан с сайта excel2.ru &gt;&gt;&gt;"/>
    <hyperlink ref="O1" r:id="rId6" display="Файл скачан с сайта excel2.ru &gt;&gt;&gt;"/>
    <hyperlink ref="P1" r:id="rId7" display="Файл скачан с сайта excel2.ru &gt;&gt;&gt;"/>
    <hyperlink ref="Q1" r:id="rId8" display="Файл скачан с сайта excel2.ru &gt;&gt;&gt;"/>
    <hyperlink ref="R1" r:id="rId9" display="Файл скачан с сайта excel2.ru &gt;&gt;&gt;"/>
    <hyperlink ref="S1" r:id="rId10" display="Файл скачан с сайта excel2.ru &gt;&gt;&gt;"/>
    <hyperlink ref="T1" r:id="rId11" display="Файл скачан с сайта excel2.ru &gt;&gt;&gt;"/>
    <hyperlink ref="U1" r:id="rId12" display="Файл скачан с сайта excel2.ru &gt;&gt;&gt;"/>
    <hyperlink ref="V1" r:id="rId13" display="Файл скачан с сайта excel2.ru &gt;&gt;&gt;"/>
    <hyperlink ref="W1" r:id="rId14" display="Файл скачан с сайта excel2.ru &gt;&gt;&gt;"/>
    <hyperlink ref="X1" r:id="rId15" display="Файл скачан с сайта excel2.ru &gt;&gt;&gt;"/>
    <hyperlink ref="Y1" r:id="rId16" display="Файл скачан с сайта excel2.ru &gt;&gt;&gt;"/>
    <hyperlink ref="Z1" r:id="rId17" display="Файл скачан с сайта excel2.ru &gt;&gt;&gt;"/>
    <hyperlink ref="AA1" r:id="rId18" display="Файл скачан с сайта excel2.ru &gt;&gt;&gt;"/>
    <hyperlink ref="AB1" r:id="rId19" display="Файл скачан с сайта excel2.ru &gt;&gt;&gt;"/>
    <hyperlink ref="AC1" r:id="rId20" display="Файл скачан с сайта excel2.ru &gt;&gt;&gt;"/>
    <hyperlink ref="AD1" r:id="rId21" display="Файл скачан с сайта excel2.ru &gt;&gt;&gt;"/>
    <hyperlink ref="AE1" r:id="rId22" display="Файл скачан с сайта excel2.ru &gt;&gt;&gt;"/>
    <hyperlink ref="AF1" r:id="rId23" display="Файл скачан с сайта excel2.ru &gt;&gt;&gt;"/>
    <hyperlink ref="AG1" r:id="rId24" display="Файл скачан с сайта excel2.ru &gt;&gt;&gt;"/>
    <hyperlink ref="A2" r:id="rId25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26"/>
  <headerFooter alignWithMargins="0">
    <oddFooter>&amp;C&amp;12Страница &amp;P из &amp;N</oddFooter>
  </headerFooter>
  <drawing r:id="rId27"/>
  <legacyDrawing r:id="rId2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29" name="Spinner 1">
              <controlPr defaultSize="0" autoPict="0">
                <anchor moveWithCells="1" sizeWithCells="1">
                  <from>
                    <xdr:col>1</xdr:col>
                    <xdr:colOff>1685925</xdr:colOff>
                    <xdr:row>7</xdr:row>
                    <xdr:rowOff>47625</xdr:rowOff>
                  </from>
                  <to>
                    <xdr:col>1</xdr:col>
                    <xdr:colOff>2352675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30" name="Scroll Bar 3">
              <controlPr defaultSize="0" autoPict="0">
                <anchor moveWithCells="1">
                  <from>
                    <xdr:col>13</xdr:col>
                    <xdr:colOff>9525</xdr:colOff>
                    <xdr:row>21</xdr:row>
                    <xdr:rowOff>28575</xdr:rowOff>
                  </from>
                  <to>
                    <xdr:col>16</xdr:col>
                    <xdr:colOff>19050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7"/>
  <sheetViews>
    <sheetView zoomScale="85" zoomScaleNormal="85" zoomScaleSheetLayoutView="40" workbookViewId="0">
      <selection activeCell="G41" sqref="G41"/>
    </sheetView>
  </sheetViews>
  <sheetFormatPr defaultRowHeight="15" x14ac:dyDescent="0.2"/>
  <cols>
    <col min="1" max="1" width="20.28515625" style="1" customWidth="1"/>
    <col min="2" max="2" width="36.140625" style="1" bestFit="1" customWidth="1"/>
    <col min="3" max="3" width="9.5703125" style="5" bestFit="1" customWidth="1"/>
    <col min="4" max="4" width="8.42578125" style="5" bestFit="1" customWidth="1"/>
    <col min="5" max="9" width="5" style="5" customWidth="1"/>
    <col min="10" max="18" width="4.28515625" style="1" customWidth="1"/>
    <col min="19" max="19" width="4.7109375" style="1" customWidth="1"/>
    <col min="20" max="33" width="4.28515625" style="1" customWidth="1"/>
    <col min="34" max="34" width="2.85546875" style="1" customWidth="1"/>
    <col min="35" max="35" width="12" style="1" bestFit="1" customWidth="1"/>
    <col min="36" max="41" width="9.140625" style="1"/>
    <col min="42" max="42" width="4.140625" style="1" customWidth="1"/>
    <col min="43" max="272" width="9.140625" style="1"/>
    <col min="273" max="273" width="10" style="1" customWidth="1"/>
    <col min="274" max="353" width="9.140625" style="1"/>
    <col min="354" max="354" width="8.5703125" style="1" customWidth="1"/>
    <col min="355" max="16384" width="9.140625" style="1"/>
  </cols>
  <sheetData>
    <row r="1" spans="1:36" ht="25.5" x14ac:dyDescent="0.2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6" ht="15.75" x14ac:dyDescent="0.25">
      <c r="A2" s="55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6" ht="18" x14ac:dyDescent="0.2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6" x14ac:dyDescent="0.2">
      <c r="A4" s="12" t="s">
        <v>72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6" spans="1:36" ht="30" x14ac:dyDescent="0.2">
      <c r="A6" s="14" t="s">
        <v>13</v>
      </c>
      <c r="B6" s="15">
        <v>44593</v>
      </c>
      <c r="C6" s="1">
        <f>MONTH(B6)</f>
        <v>2</v>
      </c>
      <c r="P6" s="68" t="s">
        <v>59</v>
      </c>
      <c r="AB6" s="68" t="s">
        <v>60</v>
      </c>
    </row>
    <row r="7" spans="1:36" x14ac:dyDescent="0.2">
      <c r="A7" s="16" t="s">
        <v>5</v>
      </c>
      <c r="B7" s="59">
        <f>EOMONTH(B6,C7-C6)</f>
        <v>44834</v>
      </c>
      <c r="C7" s="17">
        <v>9</v>
      </c>
      <c r="I7" s="1"/>
      <c r="M7" s="69" t="s">
        <v>56</v>
      </c>
      <c r="P7" s="68" t="s">
        <v>25</v>
      </c>
      <c r="S7" s="57">
        <v>5</v>
      </c>
      <c r="T7" s="3" t="s">
        <v>49</v>
      </c>
      <c r="Y7" s="60"/>
      <c r="AB7" s="66">
        <f>S7*(1+P22)</f>
        <v>7.5</v>
      </c>
      <c r="AC7" s="60"/>
    </row>
    <row r="8" spans="1:36" x14ac:dyDescent="0.2">
      <c r="A8" s="74" t="s">
        <v>67</v>
      </c>
      <c r="L8" s="57">
        <v>10</v>
      </c>
      <c r="M8" s="56" t="s">
        <v>23</v>
      </c>
      <c r="P8" s="68" t="s">
        <v>24</v>
      </c>
      <c r="S8" s="57">
        <v>5</v>
      </c>
      <c r="T8" s="3" t="s">
        <v>50</v>
      </c>
      <c r="Y8" s="60"/>
      <c r="AB8" s="66">
        <f>S8*(1+P23)</f>
        <v>3.75</v>
      </c>
      <c r="AC8" s="60"/>
    </row>
    <row r="9" spans="1:36" ht="45" customHeight="1" x14ac:dyDescent="0.35">
      <c r="B9" s="18" t="s">
        <v>69</v>
      </c>
      <c r="C9" s="4"/>
      <c r="D9" s="4"/>
      <c r="E9" s="4"/>
      <c r="F9" s="4"/>
      <c r="G9" s="4"/>
      <c r="H9" s="4"/>
      <c r="I9" s="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6" x14ac:dyDescent="0.2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6" ht="24" customHeight="1" x14ac:dyDescent="0.2">
      <c r="C11" s="4"/>
      <c r="D11" s="4"/>
      <c r="E11" s="4"/>
      <c r="F11" s="4"/>
      <c r="G11" s="4"/>
      <c r="H11" s="4"/>
      <c r="I11" s="4"/>
      <c r="J11" s="20">
        <v>1</v>
      </c>
      <c r="K11" s="20">
        <v>2</v>
      </c>
      <c r="L11" s="20">
        <v>3</v>
      </c>
      <c r="M11" s="20">
        <v>4</v>
      </c>
      <c r="N11" s="20">
        <v>5</v>
      </c>
      <c r="O11" s="20">
        <v>6</v>
      </c>
      <c r="P11" s="20">
        <v>7</v>
      </c>
      <c r="Q11" s="20">
        <v>8</v>
      </c>
      <c r="R11" s="20">
        <v>9</v>
      </c>
      <c r="S11" s="20">
        <v>10</v>
      </c>
      <c r="T11" s="20">
        <v>11</v>
      </c>
      <c r="U11" s="20">
        <v>12</v>
      </c>
      <c r="V11" s="20">
        <v>13</v>
      </c>
      <c r="W11" s="20">
        <v>14</v>
      </c>
      <c r="X11" s="20">
        <v>15</v>
      </c>
      <c r="Y11" s="20">
        <v>16</v>
      </c>
      <c r="Z11" s="20">
        <v>17</v>
      </c>
      <c r="AA11" s="20">
        <v>18</v>
      </c>
      <c r="AB11" s="20">
        <v>19</v>
      </c>
      <c r="AC11" s="20">
        <v>20</v>
      </c>
      <c r="AD11" s="20">
        <v>21</v>
      </c>
      <c r="AE11" s="20">
        <v>22</v>
      </c>
      <c r="AF11" s="20">
        <v>23</v>
      </c>
      <c r="AG11" s="20">
        <v>24</v>
      </c>
    </row>
    <row r="12" spans="1:36" ht="15.75" x14ac:dyDescent="0.2">
      <c r="B12" s="2"/>
      <c r="C12" s="4"/>
      <c r="D12" s="4"/>
      <c r="E12" s="4"/>
      <c r="F12" s="4"/>
      <c r="G12" s="4"/>
      <c r="H12" s="4"/>
      <c r="I12" s="4"/>
      <c r="J12" s="27">
        <f>YEAR(B6)</f>
        <v>2022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>
        <f>J12+1</f>
        <v>2023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6" ht="22.5" x14ac:dyDescent="0.2">
      <c r="A13" s="54" t="s">
        <v>11</v>
      </c>
      <c r="B13" s="28" t="s">
        <v>8</v>
      </c>
      <c r="C13" s="52" t="s">
        <v>12</v>
      </c>
      <c r="D13" s="52" t="s">
        <v>6</v>
      </c>
      <c r="E13" s="29" t="s">
        <v>0</v>
      </c>
      <c r="F13" s="29" t="s">
        <v>7</v>
      </c>
      <c r="G13" s="52" t="s">
        <v>1</v>
      </c>
      <c r="H13" s="53" t="s">
        <v>14</v>
      </c>
      <c r="I13" s="53" t="s">
        <v>15</v>
      </c>
      <c r="J13" s="25">
        <v>1</v>
      </c>
      <c r="K13" s="25">
        <v>2</v>
      </c>
      <c r="L13" s="25">
        <v>3</v>
      </c>
      <c r="M13" s="25">
        <v>4</v>
      </c>
      <c r="N13" s="25">
        <v>5</v>
      </c>
      <c r="O13" s="25">
        <v>6</v>
      </c>
      <c r="P13" s="25">
        <v>7</v>
      </c>
      <c r="Q13" s="25">
        <v>8</v>
      </c>
      <c r="R13" s="25">
        <v>9</v>
      </c>
      <c r="S13" s="25">
        <v>10</v>
      </c>
      <c r="T13" s="25">
        <v>11</v>
      </c>
      <c r="U13" s="25">
        <v>12</v>
      </c>
      <c r="V13" s="25">
        <v>1</v>
      </c>
      <c r="W13" s="25">
        <v>2</v>
      </c>
      <c r="X13" s="25">
        <v>3</v>
      </c>
      <c r="Y13" s="25">
        <v>4</v>
      </c>
      <c r="Z13" s="25">
        <v>5</v>
      </c>
      <c r="AA13" s="26">
        <v>6</v>
      </c>
      <c r="AB13" s="26">
        <v>7</v>
      </c>
      <c r="AC13" s="26">
        <v>8</v>
      </c>
      <c r="AD13" s="26">
        <v>9</v>
      </c>
      <c r="AE13" s="26">
        <v>10</v>
      </c>
      <c r="AF13" s="26">
        <v>11</v>
      </c>
      <c r="AG13" s="26">
        <v>12</v>
      </c>
      <c r="AI13" s="29" t="s">
        <v>16</v>
      </c>
      <c r="AJ13" s="29" t="s">
        <v>34</v>
      </c>
    </row>
    <row r="14" spans="1:36" ht="15" customHeight="1" x14ac:dyDescent="0.2">
      <c r="A14" s="30">
        <v>10</v>
      </c>
      <c r="B14" s="31" t="s">
        <v>18</v>
      </c>
      <c r="C14" s="32"/>
      <c r="D14" s="32">
        <v>4</v>
      </c>
      <c r="E14" s="32">
        <f>IF(ISBLANK(C14),$C$6,INDEX($AI$14:$AI$18,MATCH(C14,$A$14:$A$18,0))+1+$G14)</f>
        <v>2</v>
      </c>
      <c r="F14" s="32">
        <f>E14+D14-1</f>
        <v>5</v>
      </c>
      <c r="G14" s="32"/>
      <c r="H14" s="33">
        <v>4</v>
      </c>
      <c r="I14" s="33"/>
      <c r="J14" s="46"/>
      <c r="K14" s="47"/>
      <c r="L14" s="47"/>
      <c r="M14" s="48"/>
      <c r="N14" s="48"/>
      <c r="O14" s="48"/>
      <c r="P14" s="48"/>
      <c r="Q14" s="48"/>
      <c r="R14" s="48"/>
      <c r="S14" s="48"/>
      <c r="T14" s="49"/>
      <c r="U14" s="47"/>
      <c r="V14" s="47"/>
      <c r="W14" s="47"/>
      <c r="X14" s="50"/>
      <c r="Y14" s="47"/>
      <c r="Z14" s="47"/>
      <c r="AA14" s="47"/>
      <c r="AB14" s="47"/>
      <c r="AC14" s="47"/>
      <c r="AD14" s="47"/>
      <c r="AE14" s="47"/>
      <c r="AF14" s="47"/>
      <c r="AG14" s="51"/>
      <c r="AI14" s="32">
        <f>F14+I14</f>
        <v>5</v>
      </c>
      <c r="AJ14" s="32">
        <f>IF($C$7&lt;E14,0,MIN($C$7,F14)-E14+1)</f>
        <v>4</v>
      </c>
    </row>
    <row r="15" spans="1:36" x14ac:dyDescent="0.2">
      <c r="A15" s="30">
        <v>20</v>
      </c>
      <c r="B15" s="31" t="s">
        <v>19</v>
      </c>
      <c r="C15" s="32">
        <v>10</v>
      </c>
      <c r="D15" s="32">
        <v>5</v>
      </c>
      <c r="E15" s="32">
        <f>IF(ISBLANK(C15),$C$6,INDEX($AI$14:$AI$18,MATCH(C15,$A$14:$A$18,0))+1+$G15)</f>
        <v>6</v>
      </c>
      <c r="F15" s="32">
        <f t="shared" ref="F15:F18" si="0">E15+D15-1</f>
        <v>10</v>
      </c>
      <c r="G15" s="32"/>
      <c r="H15" s="33">
        <v>2</v>
      </c>
      <c r="I15" s="33"/>
      <c r="J15" s="38"/>
      <c r="K15" s="34"/>
      <c r="L15" s="34"/>
      <c r="M15" s="35"/>
      <c r="N15" s="35"/>
      <c r="O15" s="35"/>
      <c r="P15" s="35"/>
      <c r="Q15" s="35"/>
      <c r="R15" s="35"/>
      <c r="S15" s="35"/>
      <c r="T15" s="36"/>
      <c r="U15" s="34"/>
      <c r="V15" s="34"/>
      <c r="W15" s="34"/>
      <c r="X15" s="37"/>
      <c r="Y15" s="34"/>
      <c r="Z15" s="34"/>
      <c r="AA15" s="34"/>
      <c r="AB15" s="34"/>
      <c r="AC15" s="34"/>
      <c r="AD15" s="34"/>
      <c r="AE15" s="34"/>
      <c r="AF15" s="34"/>
      <c r="AG15" s="39"/>
      <c r="AI15" s="32">
        <f t="shared" ref="AI15:AI18" si="1">F15+I15</f>
        <v>10</v>
      </c>
      <c r="AJ15" s="32">
        <f t="shared" ref="AJ15:AJ18" si="2">IF($C$7&lt;E15,0,MIN($C$7,F15)-E15+1)</f>
        <v>4</v>
      </c>
    </row>
    <row r="16" spans="1:36" x14ac:dyDescent="0.2">
      <c r="A16" s="30">
        <v>30</v>
      </c>
      <c r="B16" s="31" t="s">
        <v>20</v>
      </c>
      <c r="C16" s="32">
        <v>20</v>
      </c>
      <c r="D16" s="32">
        <v>3</v>
      </c>
      <c r="E16" s="32">
        <f>IF(ISBLANK(C16),$C$6,INDEX($AI$14:$AI$18,MATCH(C16,$A$14:$A$18,0))+1+$G16)</f>
        <v>11</v>
      </c>
      <c r="F16" s="32">
        <f t="shared" si="0"/>
        <v>13</v>
      </c>
      <c r="G16" s="32"/>
      <c r="H16" s="33"/>
      <c r="I16" s="33"/>
      <c r="J16" s="38"/>
      <c r="K16" s="34"/>
      <c r="L16" s="34"/>
      <c r="M16" s="35"/>
      <c r="N16" s="35"/>
      <c r="O16" s="35"/>
      <c r="P16" s="35"/>
      <c r="Q16" s="35"/>
      <c r="R16" s="35"/>
      <c r="S16" s="35"/>
      <c r="T16" s="36"/>
      <c r="U16" s="34"/>
      <c r="V16" s="34"/>
      <c r="W16" s="34"/>
      <c r="X16" s="37"/>
      <c r="Y16" s="34"/>
      <c r="Z16" s="34"/>
      <c r="AA16" s="34"/>
      <c r="AB16" s="34"/>
      <c r="AC16" s="34"/>
      <c r="AD16" s="34"/>
      <c r="AE16" s="34"/>
      <c r="AF16" s="34"/>
      <c r="AG16" s="39"/>
      <c r="AI16" s="32">
        <f t="shared" si="1"/>
        <v>13</v>
      </c>
      <c r="AJ16" s="32">
        <f t="shared" si="2"/>
        <v>0</v>
      </c>
    </row>
    <row r="17" spans="1:36" s="21" customFormat="1" x14ac:dyDescent="0.2">
      <c r="A17" s="30">
        <v>40</v>
      </c>
      <c r="B17" s="31" t="s">
        <v>21</v>
      </c>
      <c r="C17" s="32">
        <v>30</v>
      </c>
      <c r="D17" s="32">
        <v>4</v>
      </c>
      <c r="E17" s="32">
        <f>IF(ISBLANK(C17),$C$6,INDEX($AI$14:$AI$18,MATCH(C17,$A$14:$A$18,0))+1+$G17)</f>
        <v>14</v>
      </c>
      <c r="F17" s="32">
        <f t="shared" si="0"/>
        <v>17</v>
      </c>
      <c r="G17" s="32"/>
      <c r="H17" s="33"/>
      <c r="I17" s="33"/>
      <c r="J17" s="38"/>
      <c r="K17" s="34"/>
      <c r="L17" s="34"/>
      <c r="M17" s="35"/>
      <c r="N17" s="35"/>
      <c r="O17" s="35"/>
      <c r="P17" s="35"/>
      <c r="Q17" s="35"/>
      <c r="R17" s="35"/>
      <c r="S17" s="35"/>
      <c r="T17" s="36"/>
      <c r="U17" s="34"/>
      <c r="V17" s="34"/>
      <c r="W17" s="34"/>
      <c r="X17" s="37"/>
      <c r="Y17" s="34"/>
      <c r="Z17" s="34"/>
      <c r="AA17" s="34"/>
      <c r="AB17" s="34"/>
      <c r="AC17" s="34"/>
      <c r="AD17" s="34"/>
      <c r="AE17" s="34"/>
      <c r="AF17" s="34"/>
      <c r="AG17" s="39"/>
      <c r="AI17" s="32">
        <f t="shared" si="1"/>
        <v>17</v>
      </c>
      <c r="AJ17" s="32">
        <f t="shared" si="2"/>
        <v>0</v>
      </c>
    </row>
    <row r="18" spans="1:36" s="21" customFormat="1" x14ac:dyDescent="0.2">
      <c r="A18" s="30">
        <v>50</v>
      </c>
      <c r="B18" s="31" t="s">
        <v>22</v>
      </c>
      <c r="C18" s="32">
        <v>40</v>
      </c>
      <c r="D18" s="32">
        <v>4</v>
      </c>
      <c r="E18" s="32">
        <f>IF(ISBLANK(C18),$C$6,INDEX($AI$14:$AI$18,MATCH(C18,$A$14:$A$18,0))+1+$G18)</f>
        <v>18</v>
      </c>
      <c r="F18" s="32">
        <f t="shared" si="0"/>
        <v>21</v>
      </c>
      <c r="G18" s="32"/>
      <c r="H18" s="33"/>
      <c r="I18" s="33"/>
      <c r="J18" s="40"/>
      <c r="K18" s="41"/>
      <c r="L18" s="41"/>
      <c r="M18" s="42"/>
      <c r="N18" s="42"/>
      <c r="O18" s="42"/>
      <c r="P18" s="42"/>
      <c r="Q18" s="42"/>
      <c r="R18" s="42"/>
      <c r="S18" s="42"/>
      <c r="T18" s="43"/>
      <c r="U18" s="41"/>
      <c r="V18" s="41"/>
      <c r="W18" s="41"/>
      <c r="X18" s="44"/>
      <c r="Y18" s="41"/>
      <c r="Z18" s="41"/>
      <c r="AA18" s="41"/>
      <c r="AB18" s="41"/>
      <c r="AC18" s="41"/>
      <c r="AD18" s="41"/>
      <c r="AE18" s="41"/>
      <c r="AF18" s="41"/>
      <c r="AG18" s="45"/>
      <c r="AI18" s="32">
        <f t="shared" si="1"/>
        <v>21</v>
      </c>
      <c r="AJ18" s="32">
        <f t="shared" si="2"/>
        <v>0</v>
      </c>
    </row>
    <row r="20" spans="1:36" x14ac:dyDescent="0.2">
      <c r="G20" s="58" t="s">
        <v>62</v>
      </c>
    </row>
    <row r="21" spans="1:36" x14ac:dyDescent="0.2">
      <c r="C21" s="5" t="s">
        <v>58</v>
      </c>
      <c r="D21" s="5" t="s">
        <v>61</v>
      </c>
      <c r="E21" s="58" t="s">
        <v>35</v>
      </c>
      <c r="G21" s="58" t="str">
        <f>P7</f>
        <v>Рабочие</v>
      </c>
      <c r="H21" s="58" t="str">
        <f>P8</f>
        <v>Техника</v>
      </c>
      <c r="M21" s="1" t="s">
        <v>52</v>
      </c>
    </row>
    <row r="22" spans="1:36" x14ac:dyDescent="0.2">
      <c r="A22" s="1" t="s">
        <v>26</v>
      </c>
      <c r="B22" s="3" t="s">
        <v>27</v>
      </c>
      <c r="C22" s="5">
        <f>SUM(D14:D18)*L8</f>
        <v>200</v>
      </c>
      <c r="D22" s="5">
        <f>SUM(S7:S8)/L8</f>
        <v>1</v>
      </c>
      <c r="E22" s="71">
        <f>G22+H22</f>
        <v>200</v>
      </c>
      <c r="F22" s="58"/>
      <c r="G22" s="5">
        <f>$S$7/L8*C22</f>
        <v>100</v>
      </c>
      <c r="H22" s="5">
        <f>$S$8/L8*C22</f>
        <v>100</v>
      </c>
      <c r="M22" s="22" t="str">
        <f>P7</f>
        <v>Рабочие</v>
      </c>
      <c r="N22" s="22"/>
      <c r="O22" s="22"/>
      <c r="P22" s="63">
        <f>(V22-4)/4</f>
        <v>0.5</v>
      </c>
      <c r="Q22" s="64"/>
      <c r="R22" s="64"/>
      <c r="V22" s="3">
        <v>6</v>
      </c>
      <c r="AE22" s="22"/>
      <c r="AF22" s="22"/>
      <c r="AG22" s="22"/>
    </row>
    <row r="23" spans="1:36" x14ac:dyDescent="0.2">
      <c r="A23" s="1" t="s">
        <v>28</v>
      </c>
      <c r="B23" s="3" t="s">
        <v>29</v>
      </c>
      <c r="C23" s="5">
        <f>SUM(H14:H18)*L8</f>
        <v>60</v>
      </c>
      <c r="D23" s="5">
        <f>D22</f>
        <v>1</v>
      </c>
      <c r="E23" s="5">
        <f>G23+H23</f>
        <v>60</v>
      </c>
      <c r="F23" s="58"/>
      <c r="G23" s="5">
        <f>$S$7/L8*C23</f>
        <v>30</v>
      </c>
      <c r="H23" s="5">
        <f>$S$8/L8*C23</f>
        <v>30</v>
      </c>
      <c r="M23" s="22" t="str">
        <f>P8</f>
        <v>Техника</v>
      </c>
      <c r="P23" s="63">
        <f>(V23-4)/4</f>
        <v>-0.25</v>
      </c>
      <c r="Q23" s="64"/>
      <c r="R23" s="64"/>
      <c r="V23" s="3">
        <v>3</v>
      </c>
      <c r="X23" s="22"/>
    </row>
    <row r="24" spans="1:36" x14ac:dyDescent="0.2">
      <c r="A24" s="1" t="s">
        <v>30</v>
      </c>
      <c r="B24" s="3" t="s">
        <v>31</v>
      </c>
      <c r="C24" s="5">
        <f>C23</f>
        <v>60</v>
      </c>
      <c r="D24" s="65">
        <f>SUM(AB7:AB8)/L8</f>
        <v>1.125</v>
      </c>
      <c r="E24" s="5">
        <f>G24+I24</f>
        <v>75</v>
      </c>
      <c r="F24" s="58"/>
      <c r="G24" s="5">
        <f>$AB$7/L8*C24</f>
        <v>45</v>
      </c>
      <c r="H24" s="73">
        <f>$AB$8/L8*C24</f>
        <v>22.5</v>
      </c>
      <c r="I24" s="5">
        <f>SUM($AJ$14:$AJ$18)*AB8</f>
        <v>30</v>
      </c>
    </row>
    <row r="25" spans="1:36" x14ac:dyDescent="0.2">
      <c r="A25" s="1" t="s">
        <v>32</v>
      </c>
      <c r="B25" s="3" t="s">
        <v>33</v>
      </c>
      <c r="C25" s="5">
        <f>SUM(AJ14:AJ18)*L8</f>
        <v>80</v>
      </c>
      <c r="D25" s="5">
        <f>D22</f>
        <v>1</v>
      </c>
      <c r="E25" s="5">
        <f t="shared" ref="E23:E25" si="3">D25*C25</f>
        <v>80</v>
      </c>
      <c r="F25" s="58"/>
      <c r="G25" s="5">
        <f>$S$7/L8*C25</f>
        <v>40</v>
      </c>
      <c r="H25" s="5">
        <f>$S$8/L8*C25</f>
        <v>40</v>
      </c>
      <c r="M25" s="1" t="s">
        <v>53</v>
      </c>
      <c r="N25" s="5"/>
    </row>
    <row r="26" spans="1:36" x14ac:dyDescent="0.2">
      <c r="M26" s="62" t="s">
        <v>64</v>
      </c>
      <c r="N26" s="5"/>
      <c r="U26" s="61" t="b">
        <v>0</v>
      </c>
      <c r="V26" s="61"/>
      <c r="W26" s="61"/>
    </row>
    <row r="27" spans="1:36" x14ac:dyDescent="0.2">
      <c r="A27" s="1" t="s">
        <v>37</v>
      </c>
      <c r="B27" s="3" t="s">
        <v>38</v>
      </c>
      <c r="E27" s="5">
        <f>E23-G24-I24</f>
        <v>-15</v>
      </c>
      <c r="M27" s="62" t="s">
        <v>65</v>
      </c>
      <c r="N27" s="5"/>
      <c r="U27" s="61" t="b">
        <v>0</v>
      </c>
      <c r="V27" s="61"/>
      <c r="W27" s="61"/>
    </row>
    <row r="28" spans="1:36" x14ac:dyDescent="0.2">
      <c r="A28" s="1" t="s">
        <v>36</v>
      </c>
      <c r="B28" s="3" t="s">
        <v>39</v>
      </c>
      <c r="C28" s="5">
        <f>C25-C24</f>
        <v>20</v>
      </c>
      <c r="E28" s="5">
        <f>E23-E25</f>
        <v>-20</v>
      </c>
      <c r="M28" s="5"/>
      <c r="N28" s="5"/>
    </row>
    <row r="29" spans="1:36" x14ac:dyDescent="0.2">
      <c r="A29" s="1" t="s">
        <v>40</v>
      </c>
      <c r="B29" s="3" t="s">
        <v>41</v>
      </c>
      <c r="G29" s="5">
        <f>IFERROR(G23/G24,NA())</f>
        <v>0.66666666666666663</v>
      </c>
      <c r="H29" s="5">
        <f>IFERROR(H23/H24,NA())</f>
        <v>1.3333333333333333</v>
      </c>
      <c r="M29" s="1" t="s">
        <v>51</v>
      </c>
      <c r="N29" s="5"/>
    </row>
    <row r="30" spans="1:36" x14ac:dyDescent="0.2">
      <c r="A30" s="1" t="s">
        <v>42</v>
      </c>
      <c r="B30" s="3" t="s">
        <v>43</v>
      </c>
      <c r="G30" s="5">
        <v>1</v>
      </c>
      <c r="H30" s="5">
        <f>IFERROR(H23/H25,NA())</f>
        <v>0.75</v>
      </c>
      <c r="M30" s="62" t="s">
        <v>48</v>
      </c>
      <c r="N30" s="5"/>
      <c r="U30" s="61" t="b">
        <f>AND(U31,U32)</f>
        <v>0</v>
      </c>
      <c r="V30" s="61"/>
      <c r="W30" s="61"/>
    </row>
    <row r="31" spans="1:36" x14ac:dyDescent="0.2">
      <c r="A31" s="1" t="s">
        <v>44</v>
      </c>
      <c r="B31" s="3" t="s">
        <v>45</v>
      </c>
      <c r="G31" s="5">
        <f>IFERROR((G22-G23)/IF($U$26,1,G29)/IF($U$27,1,G30),0)</f>
        <v>105</v>
      </c>
      <c r="H31" s="5">
        <f>IFERROR((H22-H23)/IF($U$26,1,H29)/IF($U$27,1,H30),0)</f>
        <v>70</v>
      </c>
      <c r="I31" s="72">
        <f>G31+H31</f>
        <v>175</v>
      </c>
      <c r="M31" s="58" t="s">
        <v>54</v>
      </c>
      <c r="N31" s="5"/>
      <c r="U31" s="61" t="b">
        <f>AND(G29=1,H29=1)</f>
        <v>0</v>
      </c>
      <c r="V31" s="61"/>
      <c r="W31" s="61"/>
    </row>
    <row r="32" spans="1:36" x14ac:dyDescent="0.2">
      <c r="A32" s="1" t="s">
        <v>47</v>
      </c>
      <c r="B32" s="3" t="s">
        <v>46</v>
      </c>
      <c r="G32" s="5">
        <f t="shared" ref="G32" si="4">G31+G24</f>
        <v>150</v>
      </c>
      <c r="H32" s="5">
        <f>H31+I24</f>
        <v>100</v>
      </c>
      <c r="I32" s="70">
        <f>G32+H32</f>
        <v>250</v>
      </c>
      <c r="M32" s="58" t="s">
        <v>57</v>
      </c>
      <c r="N32" s="5"/>
      <c r="U32" s="61" t="b">
        <f>AND(G30=1,H30=1)</f>
        <v>0</v>
      </c>
      <c r="V32" s="61"/>
      <c r="W32" s="61"/>
    </row>
    <row r="33" spans="13:22" x14ac:dyDescent="0.2">
      <c r="M33" s="58" t="s">
        <v>55</v>
      </c>
      <c r="N33" s="5"/>
      <c r="U33" s="3">
        <f>(SUM(AJ14:AJ18)-SUM(H14:H18))*L8</f>
        <v>20</v>
      </c>
      <c r="V33" s="3">
        <f>C25-C23</f>
        <v>20</v>
      </c>
    </row>
    <row r="34" spans="13:22" x14ac:dyDescent="0.2">
      <c r="M34" s="58" t="s">
        <v>63</v>
      </c>
      <c r="U34" s="3">
        <f>C22-C23</f>
        <v>140</v>
      </c>
    </row>
    <row r="35" spans="13:22" x14ac:dyDescent="0.2">
      <c r="M35" s="58" t="s">
        <v>68</v>
      </c>
      <c r="U35" s="3">
        <f>C7-C6+1</f>
        <v>8</v>
      </c>
    </row>
    <row r="36" spans="13:22" x14ac:dyDescent="0.2">
      <c r="M36" s="58" t="s">
        <v>66</v>
      </c>
      <c r="U36" s="3">
        <f>(C22-C23)/L8/IF(U27,1,H30)</f>
        <v>18.666666666666668</v>
      </c>
    </row>
    <row r="37" spans="13:22" x14ac:dyDescent="0.2">
      <c r="M37" s="58" t="s">
        <v>74</v>
      </c>
      <c r="U37" s="3">
        <f>U36+U35</f>
        <v>26.666666666666668</v>
      </c>
    </row>
  </sheetData>
  <conditionalFormatting sqref="J13:AG13">
    <cfRule type="expression" dxfId="9" priority="4">
      <formula>J$11=$C$7</formula>
    </cfRule>
  </conditionalFormatting>
  <conditionalFormatting sqref="J14:AG18">
    <cfRule type="expression" dxfId="8" priority="2">
      <formula>AND(J$11&gt;$F14,J$11&lt;=$F14+$I14)</formula>
    </cfRule>
    <cfRule type="expression" dxfId="7" priority="5" stopIfTrue="1">
      <formula>AND(J$11&gt;=$E14,J$11&lt;=$E14+$H14-1)</formula>
    </cfRule>
    <cfRule type="expression" dxfId="6" priority="6" stopIfTrue="1">
      <formula>AND(J$11&gt;=$E14,J$11&lt;=$F14)</formula>
    </cfRule>
  </conditionalFormatting>
  <conditionalFormatting sqref="H14:I18">
    <cfRule type="cellIs" dxfId="5" priority="3" operator="greaterThan">
      <formula>$D14</formula>
    </cfRule>
  </conditionalFormatting>
  <conditionalFormatting sqref="G14:G18">
    <cfRule type="expression" dxfId="4" priority="1">
      <formula>ISBLANK($C14)</formula>
    </cfRule>
  </conditionalFormatting>
  <conditionalFormatting sqref="U26:W27 U30:W32">
    <cfRule type="expression" dxfId="3" priority="7">
      <formula>$U26=TRUE</formula>
    </cfRule>
  </conditionalFormatting>
  <conditionalFormatting sqref="P22:R23">
    <cfRule type="expression" dxfId="2" priority="8">
      <formula>$P22&gt;0</formula>
    </cfRule>
  </conditionalFormatting>
  <dataValidations disablePrompts="1" count="1">
    <dataValidation type="list" allowBlank="1" showInputMessage="1" showErrorMessage="1" sqref="U26:U27">
      <formula1>"ИСТИНА,ЛОЖЬ"</formula1>
    </dataValidation>
  </dataValidations>
  <hyperlinks>
    <hyperlink ref="A1:H1" r:id="rId1" display="Файл скачан с сайта excel2.ru &gt;&gt;&gt;"/>
    <hyperlink ref="J1" r:id="rId2" display="Файл скачан с сайта excel2.ru &gt;&gt;&gt;"/>
    <hyperlink ref="L1" r:id="rId3" display="Файл скачан с сайта excel2.ru &gt;&gt;&gt;"/>
    <hyperlink ref="M1" r:id="rId4" display="Файл скачан с сайта excel2.ru &gt;&gt;&gt;"/>
    <hyperlink ref="N1" r:id="rId5" display="Файл скачан с сайта excel2.ru &gt;&gt;&gt;"/>
    <hyperlink ref="O1" r:id="rId6" display="Файл скачан с сайта excel2.ru &gt;&gt;&gt;"/>
    <hyperlink ref="P1" r:id="rId7" display="Файл скачан с сайта excel2.ru &gt;&gt;&gt;"/>
    <hyperlink ref="Q1" r:id="rId8" display="Файл скачан с сайта excel2.ru &gt;&gt;&gt;"/>
    <hyperlink ref="R1" r:id="rId9" display="Файл скачан с сайта excel2.ru &gt;&gt;&gt;"/>
    <hyperlink ref="S1" r:id="rId10" display="Файл скачан с сайта excel2.ru &gt;&gt;&gt;"/>
    <hyperlink ref="T1" r:id="rId11" display="Файл скачан с сайта excel2.ru &gt;&gt;&gt;"/>
    <hyperlink ref="U1" r:id="rId12" display="Файл скачан с сайта excel2.ru &gt;&gt;&gt;"/>
    <hyperlink ref="V1" r:id="rId13" display="Файл скачан с сайта excel2.ru &gt;&gt;&gt;"/>
    <hyperlink ref="W1" r:id="rId14" display="Файл скачан с сайта excel2.ru &gt;&gt;&gt;"/>
    <hyperlink ref="X1" r:id="rId15" display="Файл скачан с сайта excel2.ru &gt;&gt;&gt;"/>
    <hyperlink ref="Y1" r:id="rId16" display="Файл скачан с сайта excel2.ru &gt;&gt;&gt;"/>
    <hyperlink ref="Z1" r:id="rId17" display="Файл скачан с сайта excel2.ru &gt;&gt;&gt;"/>
    <hyperlink ref="AA1" r:id="rId18" display="Файл скачан с сайта excel2.ru &gt;&gt;&gt;"/>
    <hyperlink ref="AB1" r:id="rId19" display="Файл скачан с сайта excel2.ru &gt;&gt;&gt;"/>
    <hyperlink ref="AC1" r:id="rId20" display="Файл скачан с сайта excel2.ru &gt;&gt;&gt;"/>
    <hyperlink ref="AD1" r:id="rId21" display="Файл скачан с сайта excel2.ru &gt;&gt;&gt;"/>
    <hyperlink ref="AE1" r:id="rId22" display="Файл скачан с сайта excel2.ru &gt;&gt;&gt;"/>
    <hyperlink ref="AF1" r:id="rId23" display="Файл скачан с сайта excel2.ru &gt;&gt;&gt;"/>
    <hyperlink ref="AG1" r:id="rId24" display="Файл скачан с сайта excel2.ru &gt;&gt;&gt;"/>
    <hyperlink ref="A2" r:id="rId25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26"/>
  <headerFooter alignWithMargins="0">
    <oddFooter>&amp;C&amp;12Страница &amp;P из &amp;N</oddFooter>
  </headerFooter>
  <drawing r:id="rId27"/>
  <legacyDrawing r:id="rId2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29" name="Spinner 1">
              <controlPr defaultSize="0" autoPict="0">
                <anchor moveWithCells="1" sizeWithCells="1">
                  <from>
                    <xdr:col>1</xdr:col>
                    <xdr:colOff>1685925</xdr:colOff>
                    <xdr:row>7</xdr:row>
                    <xdr:rowOff>47625</xdr:rowOff>
                  </from>
                  <to>
                    <xdr:col>1</xdr:col>
                    <xdr:colOff>2352675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30" name="Scroll Bar 2">
              <controlPr defaultSize="0" autoPict="0">
                <anchor moveWithCells="1">
                  <from>
                    <xdr:col>18</xdr:col>
                    <xdr:colOff>9525</xdr:colOff>
                    <xdr:row>21</xdr:row>
                    <xdr:rowOff>9525</xdr:rowOff>
                  </from>
                  <to>
                    <xdr:col>21</xdr:col>
                    <xdr:colOff>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31" name="Scroll Bar 3">
              <controlPr defaultSize="0" autoPict="0">
                <anchor moveWithCells="1">
                  <from>
                    <xdr:col>18</xdr:col>
                    <xdr:colOff>9525</xdr:colOff>
                    <xdr:row>22</xdr:row>
                    <xdr:rowOff>28575</xdr:rowOff>
                  </from>
                  <to>
                    <xdr:col>21</xdr:col>
                    <xdr:colOff>0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67" t="s">
        <v>2</v>
      </c>
      <c r="B1" s="67"/>
      <c r="C1" s="67"/>
      <c r="D1" s="67"/>
      <c r="E1" s="67"/>
      <c r="F1" s="67"/>
      <c r="G1" s="67"/>
    </row>
    <row r="2" spans="1:7" ht="107.25" customHeight="1" x14ac:dyDescent="0.25">
      <c r="A2" s="7" t="s">
        <v>3</v>
      </c>
    </row>
    <row r="3" spans="1:7" ht="105" customHeight="1" x14ac:dyDescent="0.25">
      <c r="A3" s="7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Сдельная</vt:lpstr>
      <vt:lpstr>Повременная</vt:lpstr>
      <vt:lpstr>2 вида ресурса</vt:lpstr>
      <vt:lpstr>EXCEL2.RU</vt:lpstr>
    </vt:vector>
  </TitlesOfParts>
  <Company>excel2.ru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2011-04-28T12:37:53Z</cp:lastPrinted>
  <dcterms:created xsi:type="dcterms:W3CDTF">2006-06-09T04:46:31Z</dcterms:created>
  <dcterms:modified xsi:type="dcterms:W3CDTF">2023-05-08T19:19:19Z</dcterms:modified>
</cp:coreProperties>
</file>