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hidePivotFieldList="1" defaultThemeVersion="124226"/>
  <bookViews>
    <workbookView xWindow="1215" yWindow="1605" windowWidth="15480" windowHeight="11220" tabRatio="647"/>
  </bookViews>
  <sheets>
    <sheet name="Эффективная ставка" sheetId="1" r:id="rId1"/>
    <sheet name="EXCEL2.RU" sheetId="12" r:id="rId2"/>
    <sheet name="EXCEL2.RU (2)" sheetId="13" state="veryHidden" r:id="rId3"/>
    <sheet name="Кредит" sheetId="10" r:id="rId4"/>
    <sheet name="сравнение схем погашения (1год)" sheetId="11" r:id="rId5"/>
    <sheet name="сравнение схем погашения (5лет)" sheetId="9" r:id="rId6"/>
  </sheets>
  <externalReferences>
    <externalReference r:id="rId7"/>
  </externalReferences>
  <definedNames>
    <definedName name="_xlnm._FilterDatabase" localSheetId="0" hidden="1">'Эффективная ставка'!#REF!</definedName>
    <definedName name="anscount" hidden="1">2</definedName>
    <definedName name="limcount" hidden="1">2</definedName>
    <definedName name="sencount" hidden="1">4</definedName>
    <definedName name="Аморт_отч_в_мес">[1]Вводные!$B$31</definedName>
    <definedName name="Валюта">[1]Списки!$A$2:$A$5</definedName>
    <definedName name="Ввод">[1]Вводные!$B$27</definedName>
    <definedName name="Маржа">[1]Вводные!$B$22</definedName>
    <definedName name="На_балансе">[1]Списки!$C$2:$C$3</definedName>
    <definedName name="Налог_имущ_для_ЛК">[1]Списки!$F$4</definedName>
    <definedName name="Налог_на_Имущество">OFFSET([1]НалогИмущ!$F$4,,,COUNT([1]НалогИмущ!$F$4:$F$500))</definedName>
    <definedName name="Размер_кредита">[1]Вводные!$B$38</definedName>
    <definedName name="Срок_лизинга__мес.">[1]Вводные!$B$18</definedName>
    <definedName name="Ст_ть_имущества_бНДС">[1]Вводные!$B$11</definedName>
    <definedName name="Страховка">OFFSET([1]НалогИмущ!$G$4,,,COUNT([1]НалогИмущ!$G$4:$G$500))</definedName>
  </definedNames>
  <calcPr calcId="145621"/>
</workbook>
</file>

<file path=xl/calcChain.xml><?xml version="1.0" encoding="utf-8"?>
<calcChain xmlns="http://schemas.openxmlformats.org/spreadsheetml/2006/main">
  <c r="C37" i="10" l="1"/>
  <c r="I23" i="10" l="1"/>
  <c r="I24" i="10"/>
  <c r="I25" i="10"/>
  <c r="I26" i="10"/>
  <c r="I27" i="10"/>
  <c r="I28" i="10"/>
  <c r="I29" i="10"/>
  <c r="I30" i="10"/>
  <c r="I31" i="10"/>
  <c r="I32" i="10"/>
  <c r="I33" i="10"/>
  <c r="I34" i="10"/>
  <c r="I22" i="10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14" i="9"/>
  <c r="J18" i="9"/>
  <c r="K18" i="9"/>
  <c r="L18" i="9" s="1"/>
  <c r="M18" i="9"/>
  <c r="J19" i="9"/>
  <c r="K19" i="9"/>
  <c r="L19" i="9" s="1"/>
  <c r="M19" i="9"/>
  <c r="J20" i="9"/>
  <c r="K20" i="9"/>
  <c r="L20" i="9" s="1"/>
  <c r="M20" i="9"/>
  <c r="J21" i="9"/>
  <c r="K21" i="9"/>
  <c r="L21" i="9" s="1"/>
  <c r="M21" i="9"/>
  <c r="J22" i="9"/>
  <c r="K22" i="9"/>
  <c r="L22" i="9" s="1"/>
  <c r="M22" i="9"/>
  <c r="J23" i="9"/>
  <c r="K23" i="9"/>
  <c r="L23" i="9" s="1"/>
  <c r="M23" i="9"/>
  <c r="J24" i="9"/>
  <c r="K24" i="9"/>
  <c r="L24" i="9" s="1"/>
  <c r="M24" i="9"/>
  <c r="J25" i="9"/>
  <c r="K25" i="9"/>
  <c r="L25" i="9" s="1"/>
  <c r="M25" i="9"/>
  <c r="J26" i="9"/>
  <c r="K26" i="9"/>
  <c r="L26" i="9" s="1"/>
  <c r="M26" i="9"/>
  <c r="J27" i="9"/>
  <c r="K27" i="9"/>
  <c r="L27" i="9" s="1"/>
  <c r="M27" i="9"/>
  <c r="J28" i="9"/>
  <c r="K28" i="9"/>
  <c r="L28" i="9" s="1"/>
  <c r="M28" i="9"/>
  <c r="J29" i="9"/>
  <c r="K29" i="9"/>
  <c r="L29" i="9" s="1"/>
  <c r="M29" i="9"/>
  <c r="J30" i="9"/>
  <c r="K30" i="9"/>
  <c r="L30" i="9" s="1"/>
  <c r="M30" i="9"/>
  <c r="J31" i="9"/>
  <c r="K31" i="9"/>
  <c r="L31" i="9" s="1"/>
  <c r="M31" i="9"/>
  <c r="J32" i="9"/>
  <c r="K32" i="9"/>
  <c r="L32" i="9" s="1"/>
  <c r="M32" i="9"/>
  <c r="J33" i="9"/>
  <c r="K33" i="9"/>
  <c r="L33" i="9" s="1"/>
  <c r="M33" i="9"/>
  <c r="J34" i="9"/>
  <c r="K34" i="9"/>
  <c r="L34" i="9" s="1"/>
  <c r="M34" i="9"/>
  <c r="J35" i="9"/>
  <c r="K35" i="9"/>
  <c r="L35" i="9" s="1"/>
  <c r="M35" i="9"/>
  <c r="J36" i="9"/>
  <c r="K36" i="9"/>
  <c r="L36" i="9" s="1"/>
  <c r="M36" i="9"/>
  <c r="J37" i="9"/>
  <c r="K37" i="9"/>
  <c r="L37" i="9" s="1"/>
  <c r="M37" i="9"/>
  <c r="J38" i="9"/>
  <c r="K38" i="9"/>
  <c r="L38" i="9" s="1"/>
  <c r="M38" i="9"/>
  <c r="J39" i="9"/>
  <c r="K39" i="9"/>
  <c r="L39" i="9" s="1"/>
  <c r="M39" i="9"/>
  <c r="J40" i="9"/>
  <c r="K40" i="9"/>
  <c r="L40" i="9" s="1"/>
  <c r="M40" i="9"/>
  <c r="J41" i="9"/>
  <c r="K41" i="9"/>
  <c r="L41" i="9" s="1"/>
  <c r="M41" i="9"/>
  <c r="J42" i="9"/>
  <c r="K42" i="9"/>
  <c r="L42" i="9" s="1"/>
  <c r="M42" i="9"/>
  <c r="J43" i="9"/>
  <c r="K43" i="9"/>
  <c r="L43" i="9" s="1"/>
  <c r="M43" i="9"/>
  <c r="J44" i="9"/>
  <c r="K44" i="9"/>
  <c r="L44" i="9" s="1"/>
  <c r="M44" i="9"/>
  <c r="J45" i="9"/>
  <c r="K45" i="9"/>
  <c r="L45" i="9" s="1"/>
  <c r="M45" i="9"/>
  <c r="J46" i="9"/>
  <c r="K46" i="9"/>
  <c r="L46" i="9" s="1"/>
  <c r="M46" i="9"/>
  <c r="J47" i="9"/>
  <c r="K47" i="9"/>
  <c r="L47" i="9" s="1"/>
  <c r="M47" i="9"/>
  <c r="J48" i="9"/>
  <c r="K48" i="9"/>
  <c r="L48" i="9" s="1"/>
  <c r="M48" i="9"/>
  <c r="J49" i="9"/>
  <c r="K49" i="9"/>
  <c r="L49" i="9" s="1"/>
  <c r="M49" i="9"/>
  <c r="J50" i="9"/>
  <c r="K50" i="9"/>
  <c r="L50" i="9" s="1"/>
  <c r="M50" i="9"/>
  <c r="J51" i="9"/>
  <c r="K51" i="9"/>
  <c r="L51" i="9" s="1"/>
  <c r="M51" i="9"/>
  <c r="J52" i="9"/>
  <c r="K52" i="9"/>
  <c r="L52" i="9" s="1"/>
  <c r="M52" i="9"/>
  <c r="J53" i="9"/>
  <c r="K53" i="9"/>
  <c r="L53" i="9" s="1"/>
  <c r="M53" i="9"/>
  <c r="J54" i="9"/>
  <c r="K54" i="9"/>
  <c r="L54" i="9" s="1"/>
  <c r="M54" i="9"/>
  <c r="J55" i="9"/>
  <c r="K55" i="9"/>
  <c r="L55" i="9" s="1"/>
  <c r="M55" i="9"/>
  <c r="J56" i="9"/>
  <c r="K56" i="9"/>
  <c r="L56" i="9" s="1"/>
  <c r="M56" i="9"/>
  <c r="J57" i="9"/>
  <c r="K57" i="9"/>
  <c r="L57" i="9" s="1"/>
  <c r="M57" i="9"/>
  <c r="J58" i="9"/>
  <c r="K58" i="9"/>
  <c r="L58" i="9" s="1"/>
  <c r="M58" i="9"/>
  <c r="J59" i="9"/>
  <c r="K59" i="9"/>
  <c r="L59" i="9" s="1"/>
  <c r="M59" i="9"/>
  <c r="J60" i="9"/>
  <c r="K60" i="9"/>
  <c r="L60" i="9" s="1"/>
  <c r="M60" i="9"/>
  <c r="J61" i="9"/>
  <c r="K61" i="9"/>
  <c r="L61" i="9" s="1"/>
  <c r="M61" i="9"/>
  <c r="J62" i="9"/>
  <c r="K62" i="9"/>
  <c r="L62" i="9" s="1"/>
  <c r="M62" i="9"/>
  <c r="J63" i="9"/>
  <c r="K63" i="9"/>
  <c r="L63" i="9" s="1"/>
  <c r="M63" i="9"/>
  <c r="J64" i="9"/>
  <c r="K64" i="9"/>
  <c r="L64" i="9" s="1"/>
  <c r="M64" i="9"/>
  <c r="J65" i="9"/>
  <c r="K65" i="9"/>
  <c r="L65" i="9" s="1"/>
  <c r="M65" i="9"/>
  <c r="J66" i="9"/>
  <c r="K66" i="9"/>
  <c r="L66" i="9" s="1"/>
  <c r="M66" i="9"/>
  <c r="J67" i="9"/>
  <c r="K67" i="9"/>
  <c r="L67" i="9" s="1"/>
  <c r="M67" i="9"/>
  <c r="J68" i="9"/>
  <c r="K68" i="9"/>
  <c r="L68" i="9" s="1"/>
  <c r="M68" i="9"/>
  <c r="J69" i="9"/>
  <c r="K69" i="9"/>
  <c r="L69" i="9" s="1"/>
  <c r="M69" i="9"/>
  <c r="J70" i="9"/>
  <c r="K70" i="9"/>
  <c r="L70" i="9" s="1"/>
  <c r="M70" i="9"/>
  <c r="J71" i="9"/>
  <c r="K71" i="9"/>
  <c r="L71" i="9" s="1"/>
  <c r="M71" i="9"/>
  <c r="J72" i="9"/>
  <c r="K72" i="9"/>
  <c r="L72" i="9" s="1"/>
  <c r="M72" i="9"/>
  <c r="J73" i="9"/>
  <c r="K73" i="9"/>
  <c r="L73" i="9" s="1"/>
  <c r="M73" i="9"/>
  <c r="J15" i="9"/>
  <c r="K15" i="9"/>
  <c r="L15" i="9"/>
  <c r="M15" i="9"/>
  <c r="J16" i="9"/>
  <c r="K16" i="9"/>
  <c r="L16" i="9" s="1"/>
  <c r="M16" i="9"/>
  <c r="J17" i="9"/>
  <c r="K17" i="9"/>
  <c r="L17" i="9" s="1"/>
  <c r="M17" i="9"/>
  <c r="K14" i="9"/>
  <c r="J14" i="9"/>
  <c r="J74" i="9" s="1"/>
  <c r="E35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E26" i="9"/>
  <c r="F26" i="9"/>
  <c r="F27" i="9"/>
  <c r="F28" i="9"/>
  <c r="F29" i="9"/>
  <c r="F30" i="9"/>
  <c r="F31" i="9"/>
  <c r="F32" i="9"/>
  <c r="F33" i="9"/>
  <c r="F34" i="9"/>
  <c r="F15" i="9"/>
  <c r="F16" i="9"/>
  <c r="F17" i="9" s="1"/>
  <c r="E15" i="9"/>
  <c r="E27" i="9"/>
  <c r="E28" i="9"/>
  <c r="E29" i="9"/>
  <c r="E30" i="9"/>
  <c r="E31" i="9"/>
  <c r="E32" i="9"/>
  <c r="E33" i="9"/>
  <c r="E34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16" i="9"/>
  <c r="E17" i="9"/>
  <c r="C74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15" i="9"/>
  <c r="C16" i="9"/>
  <c r="C17" i="9"/>
  <c r="C18" i="9"/>
  <c r="C19" i="9"/>
  <c r="C20" i="9"/>
  <c r="C21" i="9"/>
  <c r="C22" i="9"/>
  <c r="C23" i="9"/>
  <c r="C24" i="9"/>
  <c r="C25" i="9"/>
  <c r="C14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I13" i="9"/>
  <c r="H13" i="9"/>
  <c r="D44" i="11"/>
  <c r="E44" i="11" s="1"/>
  <c r="C44" i="11"/>
  <c r="A44" i="11"/>
  <c r="D43" i="11"/>
  <c r="E43" i="11" s="1"/>
  <c r="C43" i="11"/>
  <c r="A43" i="11"/>
  <c r="D42" i="11"/>
  <c r="E42" i="11" s="1"/>
  <c r="C42" i="11"/>
  <c r="A42" i="11"/>
  <c r="D41" i="11"/>
  <c r="E41" i="11" s="1"/>
  <c r="C41" i="11"/>
  <c r="A41" i="11"/>
  <c r="D40" i="11"/>
  <c r="E40" i="11" s="1"/>
  <c r="C40" i="11"/>
  <c r="A40" i="11"/>
  <c r="D39" i="11"/>
  <c r="E39" i="11" s="1"/>
  <c r="C39" i="11"/>
  <c r="A39" i="11"/>
  <c r="D38" i="11"/>
  <c r="E38" i="11" s="1"/>
  <c r="C38" i="11"/>
  <c r="A38" i="11"/>
  <c r="D37" i="11"/>
  <c r="E37" i="11" s="1"/>
  <c r="C37" i="11"/>
  <c r="A37" i="11"/>
  <c r="D36" i="11"/>
  <c r="E36" i="11" s="1"/>
  <c r="C36" i="11"/>
  <c r="A36" i="11"/>
  <c r="D35" i="11"/>
  <c r="E35" i="11" s="1"/>
  <c r="C35" i="11"/>
  <c r="A35" i="11"/>
  <c r="D34" i="11"/>
  <c r="E34" i="11" s="1"/>
  <c r="C34" i="11"/>
  <c r="A34" i="11"/>
  <c r="D33" i="11"/>
  <c r="D45" i="11" s="1"/>
  <c r="C33" i="11"/>
  <c r="F44" i="11" s="1"/>
  <c r="A33" i="11"/>
  <c r="F31" i="11"/>
  <c r="E31" i="11"/>
  <c r="D31" i="11"/>
  <c r="C31" i="11"/>
  <c r="B31" i="11"/>
  <c r="A31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25" i="11" s="1"/>
  <c r="F12" i="11"/>
  <c r="E12" i="11" s="1"/>
  <c r="C7" i="11"/>
  <c r="I35" i="10" l="1"/>
  <c r="K74" i="9"/>
  <c r="F18" i="9"/>
  <c r="E18" i="9"/>
  <c r="E32" i="11"/>
  <c r="D13" i="11"/>
  <c r="F13" i="11"/>
  <c r="F33" i="11"/>
  <c r="F35" i="11"/>
  <c r="F37" i="11"/>
  <c r="F39" i="11"/>
  <c r="F41" i="11"/>
  <c r="F43" i="11"/>
  <c r="C45" i="11"/>
  <c r="E13" i="11"/>
  <c r="E33" i="11"/>
  <c r="E45" i="11" s="1"/>
  <c r="F34" i="11"/>
  <c r="F36" i="11"/>
  <c r="F38" i="11"/>
  <c r="F40" i="11"/>
  <c r="F42" i="11"/>
  <c r="I12" i="9"/>
  <c r="J12" i="9"/>
  <c r="K12" i="9"/>
  <c r="L12" i="9"/>
  <c r="M12" i="9"/>
  <c r="H12" i="9"/>
  <c r="C22" i="10"/>
  <c r="E34" i="10"/>
  <c r="E23" i="10"/>
  <c r="E24" i="10"/>
  <c r="E25" i="10"/>
  <c r="E26" i="10"/>
  <c r="E27" i="10"/>
  <c r="E28" i="10"/>
  <c r="E29" i="10"/>
  <c r="E30" i="10"/>
  <c r="E31" i="10"/>
  <c r="E32" i="10"/>
  <c r="E33" i="10"/>
  <c r="F22" i="10"/>
  <c r="G22" i="10" s="1"/>
  <c r="B22" i="10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13" i="10"/>
  <c r="B12" i="10"/>
  <c r="F19" i="9" l="1"/>
  <c r="E19" i="9"/>
  <c r="E47" i="11"/>
  <c r="F14" i="11"/>
  <c r="D14" i="11"/>
  <c r="E14" i="11" s="1"/>
  <c r="E35" i="10"/>
  <c r="F35" i="10"/>
  <c r="D24" i="10"/>
  <c r="C34" i="10"/>
  <c r="C32" i="10"/>
  <c r="C30" i="10"/>
  <c r="C28" i="10"/>
  <c r="C26" i="10"/>
  <c r="C24" i="10"/>
  <c r="D23" i="10"/>
  <c r="D33" i="10"/>
  <c r="D31" i="10"/>
  <c r="D29" i="10"/>
  <c r="D27" i="10"/>
  <c r="D25" i="10"/>
  <c r="C23" i="10"/>
  <c r="C33" i="10"/>
  <c r="C31" i="10"/>
  <c r="C29" i="10"/>
  <c r="C27" i="10"/>
  <c r="C25" i="10"/>
  <c r="B17" i="10"/>
  <c r="D34" i="10"/>
  <c r="G34" i="10" s="1"/>
  <c r="D32" i="10"/>
  <c r="D30" i="10"/>
  <c r="G30" i="10" s="1"/>
  <c r="D28" i="10"/>
  <c r="G28" i="10" s="1"/>
  <c r="D26" i="10"/>
  <c r="G26" i="10" s="1"/>
  <c r="G32" i="10"/>
  <c r="G24" i="10"/>
  <c r="G23" i="10"/>
  <c r="G33" i="10"/>
  <c r="G31" i="10"/>
  <c r="G29" i="10"/>
  <c r="G27" i="10"/>
  <c r="G25" i="10"/>
  <c r="F20" i="9" l="1"/>
  <c r="E20" i="9"/>
  <c r="F15" i="11"/>
  <c r="D15" i="11"/>
  <c r="E15" i="11" s="1"/>
  <c r="H24" i="10"/>
  <c r="D35" i="10"/>
  <c r="G35" i="10"/>
  <c r="C35" i="10"/>
  <c r="F13" i="9"/>
  <c r="E13" i="9" s="1"/>
  <c r="M14" i="9"/>
  <c r="C32" i="1"/>
  <c r="C31" i="1"/>
  <c r="C29" i="1"/>
  <c r="C28" i="1"/>
  <c r="C37" i="1" s="1"/>
  <c r="F21" i="9" l="1"/>
  <c r="E21" i="9"/>
  <c r="F16" i="11"/>
  <c r="D16" i="11"/>
  <c r="E16" i="11" s="1"/>
  <c r="H33" i="10"/>
  <c r="H29" i="10"/>
  <c r="H25" i="10"/>
  <c r="H34" i="10"/>
  <c r="H30" i="10"/>
  <c r="H26" i="10"/>
  <c r="H22" i="10"/>
  <c r="H31" i="10"/>
  <c r="H27" i="10"/>
  <c r="H23" i="10"/>
  <c r="H32" i="10"/>
  <c r="H28" i="10"/>
  <c r="L14" i="9"/>
  <c r="E14" i="9"/>
  <c r="F14" i="9"/>
  <c r="L13" i="9"/>
  <c r="C36" i="1"/>
  <c r="C35" i="1"/>
  <c r="K9" i="9" l="1"/>
  <c r="L74" i="9"/>
  <c r="F22" i="9"/>
  <c r="E22" i="9"/>
  <c r="F17" i="11"/>
  <c r="D17" i="11"/>
  <c r="E17" i="11" s="1"/>
  <c r="H35" i="10"/>
  <c r="F23" i="9" l="1"/>
  <c r="E23" i="9"/>
  <c r="F18" i="11"/>
  <c r="D18" i="11"/>
  <c r="E18" i="11" s="1"/>
  <c r="F24" i="9" l="1"/>
  <c r="E24" i="9"/>
  <c r="F19" i="11"/>
  <c r="D19" i="11"/>
  <c r="E19" i="11" s="1"/>
  <c r="F25" i="9" l="1"/>
  <c r="E25" i="9"/>
  <c r="D9" i="9" s="1"/>
  <c r="F20" i="11"/>
  <c r="D20" i="11"/>
  <c r="E20" i="11" s="1"/>
  <c r="C19" i="1"/>
  <c r="C18" i="1"/>
  <c r="C17" i="1"/>
  <c r="D74" i="9" l="1"/>
  <c r="F21" i="11"/>
  <c r="D21" i="11"/>
  <c r="E21" i="11" s="1"/>
  <c r="C10" i="1"/>
  <c r="F22" i="11" l="1"/>
  <c r="D22" i="11"/>
  <c r="E22" i="11" s="1"/>
  <c r="C13" i="1"/>
  <c r="C14" i="1"/>
  <c r="C11" i="1"/>
  <c r="F23" i="11" l="1"/>
  <c r="D23" i="11"/>
  <c r="E23" i="11" s="1"/>
  <c r="F24" i="11" l="1"/>
  <c r="D24" i="11"/>
  <c r="E24" i="11" l="1"/>
  <c r="D25" i="11"/>
  <c r="E25" i="11" l="1"/>
  <c r="E27" i="11"/>
  <c r="E74" i="9" l="1"/>
</calcChain>
</file>

<file path=xl/sharedStrings.xml><?xml version="1.0" encoding="utf-8"?>
<sst xmlns="http://schemas.openxmlformats.org/spreadsheetml/2006/main" count="120" uniqueCount="79">
  <si>
    <t>Ед. изм.</t>
  </si>
  <si>
    <t>Значение</t>
  </si>
  <si>
    <t>руб.</t>
  </si>
  <si>
    <t>Сумма вклада начальная</t>
  </si>
  <si>
    <t>Параметры вклада</t>
  </si>
  <si>
    <t>Количество периодов капитализации в год</t>
  </si>
  <si>
    <t>Номинальная ставка</t>
  </si>
  <si>
    <t>% в год</t>
  </si>
  <si>
    <t>Эффективная ставка</t>
  </si>
  <si>
    <t>через ЭФФЕКТ()</t>
  </si>
  <si>
    <t>через формулу</t>
  </si>
  <si>
    <t>Вычисление эффективной годовой процентной ставки</t>
  </si>
  <si>
    <t>Сумма вклада в конце срока</t>
  </si>
  <si>
    <t>через простые проценты по эффективной ставке</t>
  </si>
  <si>
    <t>через БС() и номинальной ставке</t>
  </si>
  <si>
    <t>Вычисление номинальной годовой процентной ставки</t>
  </si>
  <si>
    <t>через НОМИНАЛ()</t>
  </si>
  <si>
    <t>через формулу с функцией СТЕПЕНЬ()</t>
  </si>
  <si>
    <t>Вычисление эффективной процентной ставки по вкладу</t>
  </si>
  <si>
    <t>Длительность вклада</t>
  </si>
  <si>
    <t>лет</t>
  </si>
  <si>
    <t>%</t>
  </si>
  <si>
    <t>Вычисление номинальной процентной ставки по вкладу</t>
  </si>
  <si>
    <t>через БС() и номинальную ставку</t>
  </si>
  <si>
    <t>остаток</t>
  </si>
  <si>
    <t>платеж</t>
  </si>
  <si>
    <t>процент</t>
  </si>
  <si>
    <t>Тело Кредита</t>
  </si>
  <si>
    <t>Дата платежа</t>
  </si>
  <si>
    <t>Параметр</t>
  </si>
  <si>
    <t>Размер ссуды</t>
  </si>
  <si>
    <t>пс</t>
  </si>
  <si>
    <t>Остаток в конце</t>
  </si>
  <si>
    <t>бс</t>
  </si>
  <si>
    <t>Срок кредита, лет</t>
  </si>
  <si>
    <t>% годовой</t>
  </si>
  <si>
    <t>% за период</t>
  </si>
  <si>
    <t>ставка</t>
  </si>
  <si>
    <t>Число периодов</t>
  </si>
  <si>
    <t>кпер</t>
  </si>
  <si>
    <t>Тип выплаты</t>
  </si>
  <si>
    <t>тип</t>
  </si>
  <si>
    <t>от суммы кредита ежемесячно</t>
  </si>
  <si>
    <t xml:space="preserve">Разовая комиссия </t>
  </si>
  <si>
    <t>Аргумент/ пояснение</t>
  </si>
  <si>
    <t>Проценты</t>
  </si>
  <si>
    <t>Погашение основной суммы ссуды</t>
  </si>
  <si>
    <t>Итоговый денежный поток заемщика</t>
  </si>
  <si>
    <t>Дата ссуды</t>
  </si>
  <si>
    <t>Разовая комиссия</t>
  </si>
  <si>
    <t>Доп. расходы</t>
  </si>
  <si>
    <t>Число платежей в году</t>
  </si>
  <si>
    <t xml:space="preserve">Ежемесячный платеж </t>
  </si>
  <si>
    <t>без учета доп. расходов</t>
  </si>
  <si>
    <t>при открытии банковского счета</t>
  </si>
  <si>
    <t>Дисконтированный денежный поток</t>
  </si>
  <si>
    <t>Период выплаты по аннуитету</t>
  </si>
  <si>
    <t>Эффективная ставка по кредиту</t>
  </si>
  <si>
    <t>Дифференцированные платежи</t>
  </si>
  <si>
    <t>Аннуитетные платежи</t>
  </si>
  <si>
    <t>Сумма кредита</t>
  </si>
  <si>
    <t>% ставка (годовая)</t>
  </si>
  <si>
    <t>Число периодов выплат</t>
  </si>
  <si>
    <t>Эффективная годовая ставка</t>
  </si>
  <si>
    <t>Эффективная ставка по кредиту (дифф.)</t>
  </si>
  <si>
    <t>Эффективная ставка по кредиту (аннуитет)</t>
  </si>
  <si>
    <t>Сравнение кредитных договоров с разными схемами погашения (с использованием эффективной ставки)</t>
  </si>
  <si>
    <t>дата</t>
  </si>
  <si>
    <t>период</t>
  </si>
  <si>
    <t>График платежей по кредиту с учетом доп. расходов</t>
  </si>
  <si>
    <t>Число периодов выплат в году</t>
  </si>
  <si>
    <t>Дисконтированный денежный поток (для Подбора параметра)</t>
  </si>
  <si>
    <t>Эффективная ставка по кредиту (для Подбора параметра)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</si>
  <si>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</si>
  <si>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</si>
  <si>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</si>
  <si>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</si>
  <si>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</si>
  <si>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Расчет Эффективной ставки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</si>
</sst>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&quot;р.&quot;;[Red]\-#,##0.00&quot;р.&quot;"/>
    <numFmt numFmtId="164" formatCode="_(&quot;$&quot;* #,##0.00_);_(&quot;$&quot;* \(#,##0.00\);_(&quot;$&quot;* &quot;-&quot;??_);_(@_)"/>
    <numFmt numFmtId="165" formatCode="#,##0.0"/>
    <numFmt numFmtId="166" formatCode="0.0%"/>
    <numFmt numFmtId="167" formatCode="0.0000%"/>
    <numFmt numFmtId="168" formatCode="0.000%"/>
    <numFmt numFmtId="169" formatCode="#,##0.0000&quot;р.&quot;;[Red]\-#,##0.0000&quot;р.&quot;"/>
    <numFmt numFmtId="170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9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 indent="1"/>
    </xf>
    <xf numFmtId="0" fontId="6" fillId="0" borderId="0" xfId="1"/>
    <xf numFmtId="0" fontId="5" fillId="0" borderId="1" xfId="0" applyFont="1" applyBorder="1"/>
    <xf numFmtId="0" fontId="0" fillId="0" borderId="1" xfId="0" applyBorder="1"/>
    <xf numFmtId="4" fontId="12" fillId="0" borderId="1" xfId="0" applyNumberFormat="1" applyFont="1" applyBorder="1"/>
    <xf numFmtId="165" fontId="0" fillId="0" borderId="0" xfId="0" applyNumberFormat="1"/>
    <xf numFmtId="0" fontId="13" fillId="0" borderId="0" xfId="0" applyFont="1"/>
    <xf numFmtId="0" fontId="5" fillId="2" borderId="1" xfId="0" applyFont="1" applyFill="1" applyBorder="1"/>
    <xf numFmtId="9" fontId="14" fillId="0" borderId="1" xfId="0" applyNumberFormat="1" applyFont="1" applyBorder="1"/>
    <xf numFmtId="3" fontId="12" fillId="0" borderId="1" xfId="0" applyNumberFormat="1" applyFont="1" applyBorder="1"/>
    <xf numFmtId="10" fontId="5" fillId="2" borderId="1" xfId="7" applyNumberFormat="1" applyFont="1" applyFill="1" applyBorder="1"/>
    <xf numFmtId="8" fontId="0" fillId="0" borderId="1" xfId="0" applyNumberFormat="1" applyBorder="1"/>
    <xf numFmtId="0" fontId="5" fillId="0" borderId="0" xfId="0" applyFont="1"/>
    <xf numFmtId="10" fontId="0" fillId="0" borderId="1" xfId="7" applyNumberFormat="1" applyFont="1" applyBorder="1"/>
    <xf numFmtId="0" fontId="2" fillId="0" borderId="0" xfId="8"/>
    <xf numFmtId="8" fontId="2" fillId="0" borderId="0" xfId="8" applyNumberFormat="1"/>
    <xf numFmtId="0" fontId="5" fillId="0" borderId="0" xfId="8" applyFont="1"/>
    <xf numFmtId="167" fontId="0" fillId="0" borderId="0" xfId="9" applyNumberFormat="1" applyFont="1"/>
    <xf numFmtId="4" fontId="15" fillId="0" borderId="1" xfId="0" applyNumberFormat="1" applyFont="1" applyBorder="1"/>
    <xf numFmtId="3" fontId="15" fillId="0" borderId="1" xfId="0" applyNumberFormat="1" applyFont="1" applyBorder="1"/>
    <xf numFmtId="166" fontId="15" fillId="0" borderId="1" xfId="9" applyNumberFormat="1" applyFont="1" applyBorder="1"/>
    <xf numFmtId="1" fontId="15" fillId="0" borderId="1" xfId="9" applyNumberFormat="1" applyFont="1" applyBorder="1"/>
    <xf numFmtId="10" fontId="10" fillId="0" borderId="1" xfId="9" applyNumberFormat="1" applyFont="1" applyBorder="1"/>
    <xf numFmtId="0" fontId="10" fillId="0" borderId="1" xfId="0" applyFont="1" applyBorder="1"/>
    <xf numFmtId="0" fontId="15" fillId="0" borderId="1" xfId="0" applyFont="1" applyBorder="1"/>
    <xf numFmtId="10" fontId="15" fillId="0" borderId="1" xfId="7" applyNumberFormat="1" applyFont="1" applyBorder="1"/>
    <xf numFmtId="0" fontId="2" fillId="0" borderId="1" xfId="8" applyBorder="1"/>
    <xf numFmtId="0" fontId="16" fillId="0" borderId="1" xfId="8" applyFont="1" applyBorder="1"/>
    <xf numFmtId="0" fontId="5" fillId="0" borderId="1" xfId="8" applyFont="1" applyBorder="1" applyAlignment="1">
      <alignment vertical="top" wrapText="1"/>
    </xf>
    <xf numFmtId="0" fontId="2" fillId="0" borderId="1" xfId="0" applyFont="1" applyBorder="1"/>
    <xf numFmtId="14" fontId="15" fillId="0" borderId="1" xfId="0" applyNumberFormat="1" applyFont="1" applyBorder="1"/>
    <xf numFmtId="14" fontId="2" fillId="0" borderId="1" xfId="8" applyNumberFormat="1" applyBorder="1"/>
    <xf numFmtId="4" fontId="2" fillId="0" borderId="1" xfId="8" applyNumberFormat="1" applyBorder="1"/>
    <xf numFmtId="4" fontId="10" fillId="0" borderId="1" xfId="0" applyNumberFormat="1" applyFont="1" applyBorder="1"/>
    <xf numFmtId="8" fontId="2" fillId="0" borderId="1" xfId="8" applyNumberFormat="1" applyBorder="1"/>
    <xf numFmtId="0" fontId="2" fillId="0" borderId="0" xfId="8" applyBorder="1"/>
    <xf numFmtId="0" fontId="0" fillId="0" borderId="1" xfId="0" applyBorder="1" applyAlignment="1">
      <alignment vertical="top" wrapText="1"/>
    </xf>
    <xf numFmtId="8" fontId="10" fillId="0" borderId="1" xfId="0" applyNumberFormat="1" applyFont="1" applyBorder="1" applyAlignment="1">
      <alignment vertical="top"/>
    </xf>
    <xf numFmtId="14" fontId="2" fillId="0" borderId="0" xfId="8" applyNumberFormat="1" applyBorder="1"/>
    <xf numFmtId="8" fontId="2" fillId="0" borderId="0" xfId="8" applyNumberFormat="1" applyBorder="1"/>
    <xf numFmtId="8" fontId="5" fillId="0" borderId="1" xfId="8" applyNumberFormat="1" applyFont="1" applyBorder="1"/>
    <xf numFmtId="0" fontId="5" fillId="2" borderId="1" xfId="8" applyFont="1" applyFill="1" applyBorder="1"/>
    <xf numFmtId="0" fontId="5" fillId="0" borderId="1" xfId="8" applyFont="1" applyBorder="1"/>
    <xf numFmtId="16" fontId="2" fillId="0" borderId="1" xfId="8" applyNumberFormat="1" applyBorder="1"/>
    <xf numFmtId="8" fontId="5" fillId="0" borderId="0" xfId="8" applyNumberFormat="1" applyFont="1" applyBorder="1"/>
    <xf numFmtId="0" fontId="5" fillId="2" borderId="1" xfId="8" applyFont="1" applyFill="1" applyBorder="1" applyAlignment="1">
      <alignment horizontal="right"/>
    </xf>
    <xf numFmtId="0" fontId="5" fillId="0" borderId="0" xfId="8" applyFont="1" applyBorder="1"/>
    <xf numFmtId="0" fontId="2" fillId="0" borderId="0" xfId="8" applyAlignment="1">
      <alignment horizontal="right"/>
    </xf>
    <xf numFmtId="168" fontId="2" fillId="0" borderId="1" xfId="7" applyNumberFormat="1" applyFont="1" applyBorder="1"/>
    <xf numFmtId="168" fontId="5" fillId="2" borderId="1" xfId="9" applyNumberFormat="1" applyFont="1" applyFill="1" applyBorder="1"/>
    <xf numFmtId="8" fontId="15" fillId="0" borderId="1" xfId="8" applyNumberFormat="1" applyFont="1" applyBorder="1"/>
    <xf numFmtId="4" fontId="5" fillId="0" borderId="1" xfId="8" applyNumberFormat="1" applyFont="1" applyBorder="1"/>
    <xf numFmtId="0" fontId="0" fillId="0" borderId="0" xfId="0" applyBorder="1" applyAlignment="1">
      <alignment vertical="top" wrapText="1"/>
    </xf>
    <xf numFmtId="8" fontId="10" fillId="0" borderId="0" xfId="0" applyNumberFormat="1" applyFont="1" applyBorder="1" applyAlignment="1">
      <alignment vertical="top"/>
    </xf>
    <xf numFmtId="0" fontId="0" fillId="0" borderId="0" xfId="0" applyBorder="1"/>
    <xf numFmtId="169" fontId="2" fillId="0" borderId="0" xfId="8" applyNumberFormat="1"/>
    <xf numFmtId="0" fontId="5" fillId="2" borderId="1" xfId="8" applyFont="1" applyFill="1" applyBorder="1" applyAlignment="1">
      <alignment horizontal="left"/>
    </xf>
    <xf numFmtId="0" fontId="1" fillId="0" borderId="1" xfId="8" applyFont="1" applyBorder="1"/>
    <xf numFmtId="10" fontId="5" fillId="0" borderId="1" xfId="8" applyNumberFormat="1" applyFont="1" applyBorder="1"/>
    <xf numFmtId="170" fontId="2" fillId="0" borderId="0" xfId="8" applyNumberFormat="1"/>
    <xf numFmtId="0" fontId="18" fillId="4" borderId="0" xfId="1" applyFont="1" applyFill="1" applyAlignment="1">
      <alignment vertical="center" wrapText="1"/>
    </xf>
    <xf numFmtId="0" fontId="17" fillId="3" borderId="0" xfId="4" applyFont="1" applyFill="1" applyAlignment="1" applyProtection="1">
      <alignment horizontal="center" vertical="center"/>
    </xf>
    <xf numFmtId="0" fontId="17" fillId="3" borderId="0" xfId="4" applyFont="1" applyFill="1" applyAlignment="1" applyProtection="1">
      <alignment vertical="center"/>
    </xf>
    <xf numFmtId="0" fontId="21" fillId="5" borderId="0" xfId="0" applyFont="1" applyFill="1" applyAlignment="1"/>
    <xf numFmtId="0" fontId="22" fillId="5" borderId="0" xfId="0" applyFont="1" applyFill="1" applyAlignment="1">
      <alignment vertical="center"/>
    </xf>
    <xf numFmtId="0" fontId="20" fillId="5" borderId="0" xfId="11" applyFill="1" applyAlignment="1"/>
  </cellXfs>
  <cellStyles count="12">
    <cellStyle name="Currency_TapePivot" xfId="3"/>
    <cellStyle name="Normal_ALLOC1" xfId="10"/>
    <cellStyle name="Гиперссылка" xfId="11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Обычный 5" xfId="8"/>
    <cellStyle name="Процентный" xfId="7" builtinId="5"/>
    <cellStyle name="Процентн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56;&#1077;&#1096;&#1077;&#1085;&#1080;&#1103;/&#1051;&#1080;&#1079;&#1080;&#1085;&#1075;/_&#1060;&#1080;&#1085;&#1072;&#1085;&#1089;&#1086;&#1074;&#1072;&#1103;%20&#1084;&#1086;&#1076;&#1077;&#1083;&#1100;%20(&#1051;&#1080;&#1079;&#1080;&#1085;&#1075;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НалогИмущ"/>
      <sheetName val="ДКП"/>
      <sheetName val="Кредит"/>
      <sheetName val="БДДС"/>
      <sheetName val="Списки"/>
      <sheetName val="Лизинг или кредит"/>
    </sheetNames>
    <sheetDataSet>
      <sheetData sheetId="0">
        <row r="11">
          <cell r="B11">
            <v>9500000</v>
          </cell>
        </row>
        <row r="18">
          <cell r="B18">
            <v>120</v>
          </cell>
        </row>
        <row r="22">
          <cell r="B22">
            <v>2.9700000000000001E-2</v>
          </cell>
        </row>
        <row r="27">
          <cell r="B27">
            <v>41888</v>
          </cell>
        </row>
        <row r="31">
          <cell r="B31">
            <v>79166.666666666672</v>
          </cell>
        </row>
        <row r="38">
          <cell r="B38">
            <v>11210000</v>
          </cell>
        </row>
      </sheetData>
      <sheetData sheetId="1">
        <row r="4">
          <cell r="F4">
            <v>17344.099999999999</v>
          </cell>
          <cell r="G4">
            <v>33630</v>
          </cell>
        </row>
        <row r="5">
          <cell r="F5">
            <v>17198.96</v>
          </cell>
          <cell r="G5">
            <v>0</v>
          </cell>
        </row>
        <row r="6">
          <cell r="F6">
            <v>17053.82</v>
          </cell>
          <cell r="G6">
            <v>0</v>
          </cell>
        </row>
        <row r="7">
          <cell r="F7">
            <v>16908.68</v>
          </cell>
          <cell r="G7">
            <v>0</v>
          </cell>
        </row>
        <row r="8">
          <cell r="F8">
            <v>16763.54</v>
          </cell>
          <cell r="G8">
            <v>0</v>
          </cell>
        </row>
        <row r="9">
          <cell r="F9">
            <v>16618.400000000001</v>
          </cell>
          <cell r="G9">
            <v>0</v>
          </cell>
        </row>
        <row r="10">
          <cell r="F10">
            <v>16473.259999999998</v>
          </cell>
          <cell r="G10">
            <v>0</v>
          </cell>
        </row>
        <row r="11">
          <cell r="F11">
            <v>16328.13</v>
          </cell>
          <cell r="G11">
            <v>0</v>
          </cell>
        </row>
        <row r="12">
          <cell r="F12">
            <v>16182.99</v>
          </cell>
          <cell r="G12">
            <v>0</v>
          </cell>
        </row>
        <row r="13">
          <cell r="F13">
            <v>16037.85</v>
          </cell>
          <cell r="G13">
            <v>0</v>
          </cell>
        </row>
        <row r="14">
          <cell r="F14">
            <v>15892.71</v>
          </cell>
          <cell r="G14">
            <v>0</v>
          </cell>
        </row>
        <row r="15">
          <cell r="F15">
            <v>15747.57</v>
          </cell>
          <cell r="G15">
            <v>0</v>
          </cell>
        </row>
        <row r="16">
          <cell r="F16">
            <v>15602.43</v>
          </cell>
          <cell r="G16">
            <v>30267</v>
          </cell>
        </row>
        <row r="17">
          <cell r="F17">
            <v>15457.29</v>
          </cell>
          <cell r="G17">
            <v>0</v>
          </cell>
        </row>
        <row r="18">
          <cell r="F18">
            <v>15312.15</v>
          </cell>
          <cell r="G18">
            <v>0</v>
          </cell>
        </row>
        <row r="19">
          <cell r="F19">
            <v>15167.01</v>
          </cell>
          <cell r="G19">
            <v>0</v>
          </cell>
        </row>
        <row r="20">
          <cell r="F20">
            <v>15021.88</v>
          </cell>
          <cell r="G20">
            <v>0</v>
          </cell>
        </row>
        <row r="21">
          <cell r="F21">
            <v>14876.74</v>
          </cell>
          <cell r="G21">
            <v>0</v>
          </cell>
        </row>
        <row r="22">
          <cell r="F22">
            <v>14731.6</v>
          </cell>
          <cell r="G22">
            <v>0</v>
          </cell>
        </row>
        <row r="23">
          <cell r="F23">
            <v>14586.46</v>
          </cell>
          <cell r="G23">
            <v>0</v>
          </cell>
        </row>
        <row r="24">
          <cell r="F24">
            <v>14441.32</v>
          </cell>
          <cell r="G24">
            <v>0</v>
          </cell>
        </row>
        <row r="25">
          <cell r="F25">
            <v>14296.18</v>
          </cell>
          <cell r="G25">
            <v>0</v>
          </cell>
        </row>
        <row r="26">
          <cell r="F26">
            <v>14151.04</v>
          </cell>
          <cell r="G26">
            <v>0</v>
          </cell>
        </row>
        <row r="27">
          <cell r="F27">
            <v>14005.9</v>
          </cell>
          <cell r="G27">
            <v>0</v>
          </cell>
        </row>
        <row r="28">
          <cell r="F28">
            <v>13860.76</v>
          </cell>
          <cell r="G28">
            <v>26904</v>
          </cell>
        </row>
        <row r="29">
          <cell r="F29">
            <v>13715.63</v>
          </cell>
          <cell r="G29">
            <v>0</v>
          </cell>
        </row>
        <row r="30">
          <cell r="F30">
            <v>13570.49</v>
          </cell>
          <cell r="G30">
            <v>0</v>
          </cell>
        </row>
        <row r="31">
          <cell r="F31">
            <v>13425.35</v>
          </cell>
          <cell r="G31">
            <v>0</v>
          </cell>
        </row>
        <row r="32">
          <cell r="F32">
            <v>13280.21</v>
          </cell>
          <cell r="G32">
            <v>0</v>
          </cell>
        </row>
        <row r="33">
          <cell r="F33">
            <v>13135.07</v>
          </cell>
          <cell r="G33">
            <v>0</v>
          </cell>
        </row>
        <row r="34">
          <cell r="F34">
            <v>12989.93</v>
          </cell>
          <cell r="G34">
            <v>0</v>
          </cell>
        </row>
        <row r="35">
          <cell r="F35">
            <v>12844.79</v>
          </cell>
          <cell r="G35">
            <v>0</v>
          </cell>
        </row>
        <row r="36">
          <cell r="F36">
            <v>12699.65</v>
          </cell>
          <cell r="G36">
            <v>0</v>
          </cell>
        </row>
        <row r="37">
          <cell r="F37">
            <v>12554.51</v>
          </cell>
          <cell r="G37">
            <v>0</v>
          </cell>
        </row>
        <row r="38">
          <cell r="F38">
            <v>12409.38</v>
          </cell>
          <cell r="G38">
            <v>0</v>
          </cell>
        </row>
        <row r="39">
          <cell r="F39">
            <v>12264.24</v>
          </cell>
          <cell r="G39">
            <v>0</v>
          </cell>
        </row>
        <row r="40">
          <cell r="F40">
            <v>12119.1</v>
          </cell>
          <cell r="G40">
            <v>23541</v>
          </cell>
        </row>
        <row r="41">
          <cell r="F41">
            <v>11973.96</v>
          </cell>
          <cell r="G41">
            <v>0</v>
          </cell>
        </row>
        <row r="42">
          <cell r="F42">
            <v>11828.82</v>
          </cell>
          <cell r="G42">
            <v>0</v>
          </cell>
        </row>
        <row r="43">
          <cell r="F43">
            <v>11683.68</v>
          </cell>
          <cell r="G43">
            <v>0</v>
          </cell>
        </row>
        <row r="44">
          <cell r="F44">
            <v>11538.54</v>
          </cell>
          <cell r="G44">
            <v>0</v>
          </cell>
        </row>
        <row r="45">
          <cell r="F45">
            <v>11393.4</v>
          </cell>
          <cell r="G45">
            <v>0</v>
          </cell>
        </row>
        <row r="46">
          <cell r="F46">
            <v>11248.26</v>
          </cell>
          <cell r="G46">
            <v>0</v>
          </cell>
        </row>
        <row r="47">
          <cell r="F47">
            <v>11103.13</v>
          </cell>
          <cell r="G47">
            <v>0</v>
          </cell>
        </row>
        <row r="48">
          <cell r="F48">
            <v>10957.99</v>
          </cell>
          <cell r="G48">
            <v>0</v>
          </cell>
        </row>
        <row r="49">
          <cell r="F49">
            <v>10812.85</v>
          </cell>
          <cell r="G49">
            <v>0</v>
          </cell>
        </row>
        <row r="50">
          <cell r="F50">
            <v>10667.71</v>
          </cell>
          <cell r="G50">
            <v>0</v>
          </cell>
        </row>
        <row r="51">
          <cell r="F51">
            <v>10522.57</v>
          </cell>
          <cell r="G51">
            <v>0</v>
          </cell>
        </row>
        <row r="52">
          <cell r="F52">
            <v>10377.43</v>
          </cell>
          <cell r="G52">
            <v>20178</v>
          </cell>
        </row>
        <row r="53">
          <cell r="F53">
            <v>10232.290000000001</v>
          </cell>
          <cell r="G53">
            <v>0</v>
          </cell>
        </row>
        <row r="54">
          <cell r="F54">
            <v>10087.15</v>
          </cell>
          <cell r="G54">
            <v>0</v>
          </cell>
        </row>
        <row r="55">
          <cell r="F55">
            <v>9942.01</v>
          </cell>
          <cell r="G55">
            <v>0</v>
          </cell>
        </row>
        <row r="56">
          <cell r="F56">
            <v>9796.8799999999992</v>
          </cell>
          <cell r="G56">
            <v>0</v>
          </cell>
        </row>
        <row r="57">
          <cell r="F57">
            <v>9651.74</v>
          </cell>
          <cell r="G57">
            <v>0</v>
          </cell>
        </row>
        <row r="58">
          <cell r="F58">
            <v>9506.6</v>
          </cell>
          <cell r="G58">
            <v>0</v>
          </cell>
        </row>
        <row r="59">
          <cell r="F59">
            <v>9361.4599999999991</v>
          </cell>
          <cell r="G59">
            <v>0</v>
          </cell>
        </row>
        <row r="60">
          <cell r="F60">
            <v>9216.32</v>
          </cell>
          <cell r="G60">
            <v>0</v>
          </cell>
        </row>
        <row r="61">
          <cell r="F61">
            <v>9071.18</v>
          </cell>
          <cell r="G61">
            <v>0</v>
          </cell>
        </row>
        <row r="62">
          <cell r="F62">
            <v>8926.0400000000009</v>
          </cell>
          <cell r="G62">
            <v>0</v>
          </cell>
        </row>
        <row r="63">
          <cell r="F63">
            <v>8780.9</v>
          </cell>
          <cell r="G63">
            <v>0</v>
          </cell>
        </row>
        <row r="64">
          <cell r="F64">
            <v>8635.76</v>
          </cell>
          <cell r="G64">
            <v>16815</v>
          </cell>
        </row>
        <row r="65">
          <cell r="F65">
            <v>8490.6299999999992</v>
          </cell>
          <cell r="G65">
            <v>0</v>
          </cell>
        </row>
        <row r="66">
          <cell r="F66">
            <v>8345.49</v>
          </cell>
          <cell r="G66">
            <v>0</v>
          </cell>
        </row>
        <row r="67">
          <cell r="F67">
            <v>8200.35</v>
          </cell>
          <cell r="G67">
            <v>0</v>
          </cell>
        </row>
        <row r="68">
          <cell r="F68">
            <v>8055.21</v>
          </cell>
          <cell r="G68">
            <v>0</v>
          </cell>
        </row>
        <row r="69">
          <cell r="F69">
            <v>7910.07</v>
          </cell>
          <cell r="G69">
            <v>0</v>
          </cell>
        </row>
        <row r="70">
          <cell r="F70">
            <v>7764.93</v>
          </cell>
          <cell r="G70">
            <v>0</v>
          </cell>
        </row>
        <row r="71">
          <cell r="F71">
            <v>7619.79</v>
          </cell>
          <cell r="G71">
            <v>0</v>
          </cell>
        </row>
        <row r="72">
          <cell r="F72">
            <v>7474.65</v>
          </cell>
          <cell r="G72">
            <v>0</v>
          </cell>
        </row>
        <row r="73">
          <cell r="F73">
            <v>7329.51</v>
          </cell>
          <cell r="G73">
            <v>0</v>
          </cell>
        </row>
        <row r="74">
          <cell r="F74">
            <v>7184.38</v>
          </cell>
          <cell r="G74">
            <v>0</v>
          </cell>
        </row>
        <row r="75">
          <cell r="F75">
            <v>7039.24</v>
          </cell>
          <cell r="G75">
            <v>0</v>
          </cell>
        </row>
        <row r="76">
          <cell r="F76">
            <v>6894.1</v>
          </cell>
          <cell r="G76">
            <v>13452</v>
          </cell>
        </row>
        <row r="77">
          <cell r="F77">
            <v>6748.96</v>
          </cell>
          <cell r="G77">
            <v>0</v>
          </cell>
        </row>
        <row r="78">
          <cell r="F78">
            <v>6603.82</v>
          </cell>
          <cell r="G78">
            <v>0</v>
          </cell>
        </row>
        <row r="79">
          <cell r="F79">
            <v>6458.68</v>
          </cell>
          <cell r="G79">
            <v>0</v>
          </cell>
        </row>
        <row r="80">
          <cell r="F80">
            <v>6313.54</v>
          </cell>
          <cell r="G80">
            <v>0</v>
          </cell>
        </row>
        <row r="81">
          <cell r="F81">
            <v>6168.4</v>
          </cell>
          <cell r="G81">
            <v>0</v>
          </cell>
        </row>
        <row r="82">
          <cell r="F82">
            <v>6023.26</v>
          </cell>
          <cell r="G82">
            <v>0</v>
          </cell>
        </row>
        <row r="83">
          <cell r="F83">
            <v>5878.13</v>
          </cell>
          <cell r="G83">
            <v>0</v>
          </cell>
        </row>
        <row r="84">
          <cell r="F84">
            <v>5732.99</v>
          </cell>
          <cell r="G84">
            <v>0</v>
          </cell>
        </row>
        <row r="85">
          <cell r="F85">
            <v>5587.85</v>
          </cell>
          <cell r="G85">
            <v>0</v>
          </cell>
        </row>
        <row r="86">
          <cell r="F86">
            <v>5442.71</v>
          </cell>
          <cell r="G86">
            <v>0</v>
          </cell>
        </row>
        <row r="87">
          <cell r="F87">
            <v>5297.57</v>
          </cell>
          <cell r="G87">
            <v>0</v>
          </cell>
        </row>
        <row r="88">
          <cell r="F88">
            <v>5152.43</v>
          </cell>
          <cell r="G88">
            <v>10089</v>
          </cell>
        </row>
        <row r="89">
          <cell r="F89">
            <v>5007.29</v>
          </cell>
          <cell r="G89">
            <v>0</v>
          </cell>
        </row>
        <row r="90">
          <cell r="F90">
            <v>4862.1499999999996</v>
          </cell>
          <cell r="G90">
            <v>0</v>
          </cell>
        </row>
        <row r="91">
          <cell r="F91">
            <v>4717.01</v>
          </cell>
          <cell r="G91">
            <v>0</v>
          </cell>
        </row>
        <row r="92">
          <cell r="F92">
            <v>4571.88</v>
          </cell>
          <cell r="G92">
            <v>0</v>
          </cell>
        </row>
        <row r="93">
          <cell r="F93">
            <v>4426.74</v>
          </cell>
          <cell r="G93">
            <v>0</v>
          </cell>
        </row>
        <row r="94">
          <cell r="F94">
            <v>4281.6000000000004</v>
          </cell>
          <cell r="G94">
            <v>0</v>
          </cell>
        </row>
        <row r="95">
          <cell r="F95">
            <v>4136.46</v>
          </cell>
          <cell r="G95">
            <v>0</v>
          </cell>
        </row>
        <row r="96">
          <cell r="F96">
            <v>3991.32</v>
          </cell>
          <cell r="G96">
            <v>0</v>
          </cell>
        </row>
        <row r="97">
          <cell r="F97">
            <v>3846.18</v>
          </cell>
          <cell r="G97">
            <v>0</v>
          </cell>
        </row>
        <row r="98">
          <cell r="F98">
            <v>3701.04</v>
          </cell>
          <cell r="G98">
            <v>0</v>
          </cell>
        </row>
        <row r="99">
          <cell r="F99">
            <v>3555.9</v>
          </cell>
          <cell r="G99">
            <v>0</v>
          </cell>
        </row>
        <row r="100">
          <cell r="F100">
            <v>3410.76</v>
          </cell>
          <cell r="G100">
            <v>6726</v>
          </cell>
        </row>
        <row r="101">
          <cell r="F101">
            <v>3265.63</v>
          </cell>
          <cell r="G101">
            <v>0</v>
          </cell>
        </row>
        <row r="102">
          <cell r="F102">
            <v>3120.49</v>
          </cell>
          <cell r="G102">
            <v>0</v>
          </cell>
        </row>
        <row r="103">
          <cell r="F103">
            <v>2975.35</v>
          </cell>
          <cell r="G103">
            <v>0</v>
          </cell>
        </row>
        <row r="104">
          <cell r="F104">
            <v>2830.21</v>
          </cell>
          <cell r="G104">
            <v>0</v>
          </cell>
        </row>
        <row r="105">
          <cell r="F105">
            <v>2685.07</v>
          </cell>
          <cell r="G105">
            <v>0</v>
          </cell>
        </row>
        <row r="106">
          <cell r="F106">
            <v>2539.9299999999998</v>
          </cell>
          <cell r="G106">
            <v>0</v>
          </cell>
        </row>
        <row r="107">
          <cell r="F107">
            <v>2394.79</v>
          </cell>
          <cell r="G107">
            <v>0</v>
          </cell>
        </row>
        <row r="108">
          <cell r="F108">
            <v>2249.65</v>
          </cell>
          <cell r="G108">
            <v>0</v>
          </cell>
        </row>
        <row r="109">
          <cell r="F109">
            <v>2104.5100000000002</v>
          </cell>
          <cell r="G109">
            <v>0</v>
          </cell>
        </row>
        <row r="110">
          <cell r="F110">
            <v>1959.38</v>
          </cell>
          <cell r="G110">
            <v>0</v>
          </cell>
        </row>
        <row r="111">
          <cell r="F111">
            <v>1814.24</v>
          </cell>
          <cell r="G111">
            <v>0</v>
          </cell>
        </row>
        <row r="112">
          <cell r="F112">
            <v>1669.1</v>
          </cell>
          <cell r="G112">
            <v>3363</v>
          </cell>
        </row>
        <row r="113">
          <cell r="F113">
            <v>1523.96</v>
          </cell>
          <cell r="G113">
            <v>0</v>
          </cell>
        </row>
        <row r="114">
          <cell r="F114">
            <v>1378.82</v>
          </cell>
          <cell r="G114">
            <v>0</v>
          </cell>
        </row>
        <row r="115">
          <cell r="F115">
            <v>1233.68</v>
          </cell>
          <cell r="G115">
            <v>0</v>
          </cell>
        </row>
        <row r="116">
          <cell r="F116">
            <v>1088.54</v>
          </cell>
          <cell r="G116">
            <v>0</v>
          </cell>
        </row>
        <row r="117">
          <cell r="F117">
            <v>943.4</v>
          </cell>
          <cell r="G117">
            <v>0</v>
          </cell>
        </row>
        <row r="118">
          <cell r="F118">
            <v>798.26</v>
          </cell>
          <cell r="G118">
            <v>0</v>
          </cell>
        </row>
        <row r="119">
          <cell r="F119">
            <v>653.12</v>
          </cell>
          <cell r="G119">
            <v>0</v>
          </cell>
        </row>
        <row r="120">
          <cell r="F120">
            <v>507.99</v>
          </cell>
          <cell r="G120">
            <v>0</v>
          </cell>
        </row>
        <row r="121">
          <cell r="F121">
            <v>362.85</v>
          </cell>
          <cell r="G121">
            <v>0</v>
          </cell>
        </row>
        <row r="122">
          <cell r="F122">
            <v>217.71</v>
          </cell>
          <cell r="G122">
            <v>0</v>
          </cell>
        </row>
        <row r="123">
          <cell r="F123">
            <v>72.569999999999993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0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0</v>
          </cell>
        </row>
        <row r="141">
          <cell r="F141">
            <v>0</v>
          </cell>
          <cell r="G141">
            <v>0</v>
          </cell>
        </row>
        <row r="142">
          <cell r="F142">
            <v>0</v>
          </cell>
          <cell r="G142">
            <v>0</v>
          </cell>
        </row>
        <row r="143">
          <cell r="F143">
            <v>0</v>
          </cell>
          <cell r="G143">
            <v>0</v>
          </cell>
        </row>
      </sheetData>
      <sheetData sheetId="2"/>
      <sheetData sheetId="3"/>
      <sheetData sheetId="4"/>
      <sheetData sheetId="5">
        <row r="2">
          <cell r="A2" t="str">
            <v>Рубли</v>
          </cell>
          <cell r="C2" t="str">
            <v>Лизингодателя</v>
          </cell>
        </row>
        <row r="3">
          <cell r="A3" t="str">
            <v>Доллары</v>
          </cell>
          <cell r="C3" t="str">
            <v>Лизингополучателя</v>
          </cell>
        </row>
        <row r="4">
          <cell r="A4" t="str">
            <v>Евро</v>
          </cell>
          <cell r="F4">
            <v>2.1999999999999999E-2</v>
          </cell>
        </row>
        <row r="5">
          <cell r="A5" t="str">
            <v>Фунты Стерлингов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raschet-effektivnoy-stavk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excel2.ru/articles/raschet-effektivnoy-stavk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7"/>
  <sheetViews>
    <sheetView tabSelected="1" workbookViewId="0">
      <selection activeCell="E3" sqref="A1:E3"/>
    </sheetView>
  </sheetViews>
  <sheetFormatPr defaultRowHeight="15" x14ac:dyDescent="0.25"/>
  <cols>
    <col min="1" max="1" width="24.85546875" customWidth="1"/>
    <col min="2" max="2" width="18.5703125" customWidth="1"/>
    <col min="3" max="3" width="11.42578125" bestFit="1" customWidth="1"/>
    <col min="4" max="4" width="14.42578125" customWidth="1"/>
    <col min="5" max="5" width="16" bestFit="1" customWidth="1"/>
    <col min="6" max="6" width="16.42578125" customWidth="1"/>
    <col min="7" max="7" width="24" bestFit="1" customWidth="1"/>
    <col min="8" max="8" width="16.140625" customWidth="1"/>
    <col min="9" max="9" width="16.5703125" customWidth="1"/>
    <col min="10" max="11" width="10.140625" bestFit="1" customWidth="1"/>
    <col min="13" max="13" width="10.140625" bestFit="1" customWidth="1"/>
    <col min="253" max="253" width="10" customWidth="1"/>
    <col min="270" max="270" width="10" customWidth="1"/>
    <col min="334" max="334" width="8.5703125" customWidth="1"/>
    <col min="351" max="351" width="8.5703125" customWidth="1"/>
  </cols>
  <sheetData>
    <row r="1" spans="1:11" ht="26.25" x14ac:dyDescent="0.25">
      <c r="A1" s="63" t="s">
        <v>76</v>
      </c>
      <c r="B1" s="63"/>
      <c r="C1" s="63"/>
      <c r="D1" s="63"/>
      <c r="E1" s="63"/>
      <c r="F1" s="1"/>
    </row>
    <row r="2" spans="1:11" ht="15.75" x14ac:dyDescent="0.25">
      <c r="A2" s="66" t="s">
        <v>77</v>
      </c>
      <c r="B2" s="64"/>
      <c r="C2" s="64"/>
      <c r="D2" s="64"/>
      <c r="E2" s="64"/>
      <c r="F2" s="1"/>
    </row>
    <row r="3" spans="1:11" ht="18.75" x14ac:dyDescent="0.25">
      <c r="A3" s="65" t="s">
        <v>78</v>
      </c>
      <c r="B3" s="65"/>
      <c r="C3" s="65"/>
      <c r="D3" s="65"/>
      <c r="E3" s="65"/>
    </row>
    <row r="4" spans="1:11" x14ac:dyDescent="0.25">
      <c r="A4" s="7" t="s">
        <v>11</v>
      </c>
    </row>
    <row r="5" spans="1:11" ht="15" hidden="1" customHeight="1" x14ac:dyDescent="0.25"/>
    <row r="6" spans="1:11" x14ac:dyDescent="0.25">
      <c r="A6" s="3" t="s">
        <v>4</v>
      </c>
      <c r="B6" s="3" t="s">
        <v>0</v>
      </c>
      <c r="C6" s="3" t="s">
        <v>1</v>
      </c>
    </row>
    <row r="7" spans="1:11" x14ac:dyDescent="0.25">
      <c r="A7" s="4" t="s">
        <v>3</v>
      </c>
      <c r="B7" s="4" t="s">
        <v>2</v>
      </c>
      <c r="C7" s="5">
        <v>20000</v>
      </c>
    </row>
    <row r="8" spans="1:11" x14ac:dyDescent="0.25">
      <c r="A8" s="4" t="s">
        <v>5</v>
      </c>
      <c r="B8" s="4"/>
      <c r="C8" s="10">
        <v>12</v>
      </c>
    </row>
    <row r="9" spans="1:11" x14ac:dyDescent="0.25">
      <c r="A9" s="4" t="s">
        <v>6</v>
      </c>
      <c r="B9" s="4" t="s">
        <v>7</v>
      </c>
      <c r="C9" s="9">
        <v>0.1</v>
      </c>
      <c r="K9" s="6"/>
    </row>
    <row r="10" spans="1:11" ht="15" customHeight="1" x14ac:dyDescent="0.25">
      <c r="A10" s="8" t="s">
        <v>8</v>
      </c>
      <c r="B10" s="8" t="s">
        <v>21</v>
      </c>
      <c r="C10" s="11">
        <f>EFFECT(C9,C8)</f>
        <v>0.10471306744129683</v>
      </c>
      <c r="D10" t="s">
        <v>9</v>
      </c>
      <c r="K10" s="6"/>
    </row>
    <row r="11" spans="1:11" x14ac:dyDescent="0.25">
      <c r="C11" s="11">
        <f>(1+C9/C8)^C8-1</f>
        <v>0.10471306744129683</v>
      </c>
      <c r="D11" t="s">
        <v>10</v>
      </c>
      <c r="K11" s="6"/>
    </row>
    <row r="13" spans="1:11" x14ac:dyDescent="0.25">
      <c r="A13" s="13" t="s">
        <v>12</v>
      </c>
      <c r="C13" s="12">
        <f>FV(C9/C8,C8,,-C7,0)</f>
        <v>22094.261348825938</v>
      </c>
      <c r="D13" t="s">
        <v>23</v>
      </c>
    </row>
    <row r="14" spans="1:11" x14ac:dyDescent="0.25">
      <c r="C14" s="12">
        <f>C7*(C10+1)</f>
        <v>22094.261348825938</v>
      </c>
      <c r="D14" t="s">
        <v>13</v>
      </c>
    </row>
    <row r="16" spans="1:11" x14ac:dyDescent="0.25">
      <c r="A16" s="7" t="s">
        <v>15</v>
      </c>
    </row>
    <row r="17" spans="1:4" x14ac:dyDescent="0.25">
      <c r="C17" s="14">
        <f>NOMINAL(C10,C8)</f>
        <v>9.9999999999999645E-2</v>
      </c>
      <c r="D17" t="s">
        <v>16</v>
      </c>
    </row>
    <row r="18" spans="1:4" x14ac:dyDescent="0.25">
      <c r="C18" s="14">
        <f>((C10+1)^(1/C8)-1)*C8</f>
        <v>9.9999999999999645E-2</v>
      </c>
      <c r="D18" t="s">
        <v>10</v>
      </c>
    </row>
    <row r="19" spans="1:4" x14ac:dyDescent="0.25">
      <c r="C19" s="14">
        <f>C8*(POWER(C10+1,1/C8)-1)</f>
        <v>9.9999999999999645E-2</v>
      </c>
      <c r="D19" t="s">
        <v>17</v>
      </c>
    </row>
    <row r="21" spans="1:4" x14ac:dyDescent="0.25">
      <c r="A21" s="7" t="s">
        <v>18</v>
      </c>
    </row>
    <row r="22" spans="1:4" hidden="1" x14ac:dyDescent="0.25"/>
    <row r="23" spans="1:4" x14ac:dyDescent="0.25">
      <c r="A23" s="3" t="s">
        <v>4</v>
      </c>
      <c r="B23" s="3" t="s">
        <v>0</v>
      </c>
      <c r="C23" s="3" t="s">
        <v>1</v>
      </c>
    </row>
    <row r="24" spans="1:4" x14ac:dyDescent="0.25">
      <c r="A24" s="4" t="s">
        <v>3</v>
      </c>
      <c r="B24" s="4" t="s">
        <v>2</v>
      </c>
      <c r="C24" s="5">
        <v>20000</v>
      </c>
    </row>
    <row r="25" spans="1:4" x14ac:dyDescent="0.25">
      <c r="A25" s="4" t="s">
        <v>5</v>
      </c>
      <c r="B25" s="4"/>
      <c r="C25" s="10">
        <v>12</v>
      </c>
    </row>
    <row r="26" spans="1:4" x14ac:dyDescent="0.25">
      <c r="A26" s="4" t="s">
        <v>19</v>
      </c>
      <c r="B26" s="4" t="s">
        <v>20</v>
      </c>
      <c r="C26" s="10">
        <v>3</v>
      </c>
    </row>
    <row r="27" spans="1:4" x14ac:dyDescent="0.25">
      <c r="A27" s="4" t="s">
        <v>6</v>
      </c>
      <c r="B27" s="4" t="s">
        <v>7</v>
      </c>
      <c r="C27" s="9">
        <v>0.1</v>
      </c>
    </row>
    <row r="28" spans="1:4" x14ac:dyDescent="0.25">
      <c r="A28" s="8" t="s">
        <v>8</v>
      </c>
      <c r="B28" s="8" t="s">
        <v>21</v>
      </c>
      <c r="C28" s="11">
        <f>EFFECT(C27*C26,C25*C26)/C26</f>
        <v>0.11606061413960893</v>
      </c>
      <c r="D28" t="s">
        <v>9</v>
      </c>
    </row>
    <row r="29" spans="1:4" x14ac:dyDescent="0.25">
      <c r="C29" s="11">
        <f>((1+C27/C25)^(C25*C26)-1)/C26</f>
        <v>0.11606061413960893</v>
      </c>
      <c r="D29" t="s">
        <v>10</v>
      </c>
    </row>
    <row r="31" spans="1:4" x14ac:dyDescent="0.25">
      <c r="A31" s="13" t="s">
        <v>12</v>
      </c>
      <c r="C31" s="12">
        <f>FV(C27/C25,C26*C25,,-C24)</f>
        <v>26963.636848376536</v>
      </c>
      <c r="D31" t="s">
        <v>14</v>
      </c>
    </row>
    <row r="32" spans="1:4" x14ac:dyDescent="0.25">
      <c r="C32" s="12">
        <f>C24*(C26*C28+1)</f>
        <v>26963.636848376536</v>
      </c>
      <c r="D32" t="s">
        <v>13</v>
      </c>
    </row>
    <row r="34" spans="1:4" x14ac:dyDescent="0.25">
      <c r="A34" s="7" t="s">
        <v>22</v>
      </c>
    </row>
    <row r="35" spans="1:4" x14ac:dyDescent="0.25">
      <c r="C35" s="14">
        <f>NOMINAL(C28*C26,C25*C26)/C26</f>
        <v>9.9999999999999645E-2</v>
      </c>
      <c r="D35" t="s">
        <v>16</v>
      </c>
    </row>
    <row r="36" spans="1:4" x14ac:dyDescent="0.25">
      <c r="C36" s="14">
        <f>((C28*C26+1)^(1/(C25*C26))-1)*C25</f>
        <v>9.9999999999999645E-2</v>
      </c>
      <c r="D36" t="s">
        <v>10</v>
      </c>
    </row>
    <row r="37" spans="1:4" x14ac:dyDescent="0.25">
      <c r="C37" s="14">
        <f>C25*(POWER(C28*C26+1,1/(C26*C25))-1)</f>
        <v>9.9999999999999645E-2</v>
      </c>
      <c r="D37" t="s">
        <v>17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62" t="s">
        <v>73</v>
      </c>
      <c r="B1" s="62"/>
      <c r="C1" s="62"/>
      <c r="D1" s="62"/>
      <c r="E1" s="62"/>
      <c r="F1" s="62"/>
      <c r="G1" s="62"/>
    </row>
    <row r="2" spans="1:7" ht="107.25" customHeight="1" x14ac:dyDescent="0.25">
      <c r="A2" s="61" t="s">
        <v>74</v>
      </c>
    </row>
    <row r="3" spans="1:7" ht="105" customHeight="1" x14ac:dyDescent="0.25">
      <c r="A3" s="61" t="s">
        <v>75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62" t="s">
        <v>73</v>
      </c>
      <c r="B1" s="62"/>
      <c r="C1" s="62"/>
      <c r="D1" s="62"/>
      <c r="E1" s="62"/>
      <c r="F1" s="62"/>
      <c r="G1" s="62"/>
    </row>
    <row r="2" spans="1:7" ht="107.25" customHeight="1" x14ac:dyDescent="0.25">
      <c r="A2" s="61" t="s">
        <v>74</v>
      </c>
    </row>
    <row r="3" spans="1:7" ht="105" customHeight="1" x14ac:dyDescent="0.25">
      <c r="A3" s="61" t="s">
        <v>75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7"/>
  <sheetViews>
    <sheetView workbookViewId="0">
      <selection sqref="A1:E3"/>
    </sheetView>
  </sheetViews>
  <sheetFormatPr defaultRowHeight="15" x14ac:dyDescent="0.25"/>
  <cols>
    <col min="1" max="1" width="21.140625" style="15" customWidth="1"/>
    <col min="2" max="2" width="17.85546875" style="15" customWidth="1"/>
    <col min="3" max="3" width="14.85546875" style="15" customWidth="1"/>
    <col min="4" max="4" width="10.42578125" style="15" bestFit="1" customWidth="1"/>
    <col min="5" max="5" width="11" style="15" customWidth="1"/>
    <col min="6" max="6" width="9.7109375" style="15" bestFit="1" customWidth="1"/>
    <col min="7" max="7" width="19.28515625" style="15" customWidth="1"/>
    <col min="8" max="8" width="19.28515625" style="15" bestFit="1" customWidth="1"/>
    <col min="9" max="9" width="23.140625" style="15" customWidth="1"/>
    <col min="10" max="10" width="9.140625" style="15"/>
    <col min="11" max="11" width="10.7109375" style="15" bestFit="1" customWidth="1"/>
    <col min="12" max="13" width="9.7109375" style="15" bestFit="1" customWidth="1"/>
    <col min="14" max="16384" width="9.140625" style="15"/>
  </cols>
  <sheetData>
    <row r="1" spans="1:5" ht="26.25" x14ac:dyDescent="0.25">
      <c r="A1" s="63" t="s">
        <v>76</v>
      </c>
      <c r="B1" s="63"/>
      <c r="C1" s="63"/>
      <c r="D1" s="63"/>
      <c r="E1" s="63"/>
    </row>
    <row r="2" spans="1:5" ht="15.75" x14ac:dyDescent="0.25">
      <c r="A2" s="66" t="s">
        <v>77</v>
      </c>
      <c r="B2" s="64"/>
      <c r="C2" s="64"/>
      <c r="D2" s="64"/>
      <c r="E2" s="64"/>
    </row>
    <row r="3" spans="1:5" ht="18.75" x14ac:dyDescent="0.25">
      <c r="A3" s="65" t="s">
        <v>78</v>
      </c>
      <c r="B3" s="65"/>
      <c r="C3" s="65"/>
      <c r="D3" s="65"/>
      <c r="E3" s="65"/>
    </row>
    <row r="4" spans="1:5" hidden="1" x14ac:dyDescent="0.25">
      <c r="A4" s="17"/>
    </row>
    <row r="5" spans="1:5" x14ac:dyDescent="0.25">
      <c r="A5" s="3" t="s">
        <v>29</v>
      </c>
      <c r="B5" s="3" t="s">
        <v>1</v>
      </c>
      <c r="C5" s="3" t="s">
        <v>44</v>
      </c>
    </row>
    <row r="6" spans="1:5" x14ac:dyDescent="0.25">
      <c r="A6" s="30" t="s">
        <v>48</v>
      </c>
      <c r="B6" s="31">
        <v>38094</v>
      </c>
      <c r="C6" s="3"/>
    </row>
    <row r="7" spans="1:5" x14ac:dyDescent="0.25">
      <c r="A7" s="4" t="s">
        <v>30</v>
      </c>
      <c r="B7" s="19">
        <v>250000</v>
      </c>
      <c r="C7" s="4" t="s">
        <v>31</v>
      </c>
    </row>
    <row r="8" spans="1:5" x14ac:dyDescent="0.25">
      <c r="A8" s="4" t="s">
        <v>32</v>
      </c>
      <c r="B8" s="19">
        <v>0</v>
      </c>
      <c r="C8" s="4" t="s">
        <v>33</v>
      </c>
    </row>
    <row r="9" spans="1:5" x14ac:dyDescent="0.25">
      <c r="A9" s="4" t="s">
        <v>34</v>
      </c>
      <c r="B9" s="20">
        <v>1</v>
      </c>
      <c r="C9" s="4"/>
    </row>
    <row r="10" spans="1:5" x14ac:dyDescent="0.25">
      <c r="A10" s="4" t="s">
        <v>35</v>
      </c>
      <c r="B10" s="21">
        <v>0.15</v>
      </c>
      <c r="C10" s="4"/>
    </row>
    <row r="11" spans="1:5" x14ac:dyDescent="0.25">
      <c r="A11" s="4" t="s">
        <v>51</v>
      </c>
      <c r="B11" s="22">
        <v>12</v>
      </c>
      <c r="C11" s="4"/>
    </row>
    <row r="12" spans="1:5" x14ac:dyDescent="0.25">
      <c r="A12" s="4" t="s">
        <v>36</v>
      </c>
      <c r="B12" s="23">
        <f>B10/B11</f>
        <v>1.2499999999999999E-2</v>
      </c>
      <c r="C12" s="4" t="s">
        <v>37</v>
      </c>
    </row>
    <row r="13" spans="1:5" x14ac:dyDescent="0.25">
      <c r="A13" s="4" t="s">
        <v>38</v>
      </c>
      <c r="B13" s="24">
        <f>B9*B11</f>
        <v>12</v>
      </c>
      <c r="C13" s="4" t="s">
        <v>39</v>
      </c>
    </row>
    <row r="14" spans="1:5" x14ac:dyDescent="0.25">
      <c r="A14" s="4" t="s">
        <v>40</v>
      </c>
      <c r="B14" s="25">
        <v>0</v>
      </c>
      <c r="C14" s="4" t="s">
        <v>41</v>
      </c>
    </row>
    <row r="15" spans="1:5" x14ac:dyDescent="0.25">
      <c r="A15" s="28" t="s">
        <v>50</v>
      </c>
      <c r="B15" s="26">
        <v>1.9E-2</v>
      </c>
      <c r="C15" s="27" t="s">
        <v>42</v>
      </c>
    </row>
    <row r="16" spans="1:5" x14ac:dyDescent="0.25">
      <c r="A16" s="28" t="s">
        <v>43</v>
      </c>
      <c r="B16" s="19">
        <v>3000</v>
      </c>
      <c r="C16" s="27" t="s">
        <v>54</v>
      </c>
    </row>
    <row r="17" spans="1:9" x14ac:dyDescent="0.25">
      <c r="A17" s="37" t="s">
        <v>52</v>
      </c>
      <c r="B17" s="38">
        <f>PMT($B$12,$B$13,-$B$7,-$B$8,$B$14)</f>
        <v>22564.578086289235</v>
      </c>
      <c r="C17" s="4" t="s">
        <v>53</v>
      </c>
      <c r="I17" s="43" t="s">
        <v>72</v>
      </c>
    </row>
    <row r="18" spans="1:9" x14ac:dyDescent="0.25">
      <c r="A18" s="53"/>
      <c r="B18" s="54"/>
      <c r="C18" s="55"/>
      <c r="I18" s="59">
        <v>0.7223938668097174</v>
      </c>
    </row>
    <row r="19" spans="1:9" x14ac:dyDescent="0.25">
      <c r="A19" s="17" t="s">
        <v>69</v>
      </c>
    </row>
    <row r="20" spans="1:9" hidden="1" x14ac:dyDescent="0.25">
      <c r="A20" s="17"/>
    </row>
    <row r="21" spans="1:9" ht="45" x14ac:dyDescent="0.25">
      <c r="A21" s="29" t="s">
        <v>56</v>
      </c>
      <c r="B21" s="29" t="s">
        <v>28</v>
      </c>
      <c r="C21" s="29" t="s">
        <v>46</v>
      </c>
      <c r="D21" s="29" t="s">
        <v>45</v>
      </c>
      <c r="E21" s="29" t="s">
        <v>50</v>
      </c>
      <c r="F21" s="29" t="s">
        <v>49</v>
      </c>
      <c r="G21" s="29" t="s">
        <v>47</v>
      </c>
      <c r="H21" s="29" t="s">
        <v>55</v>
      </c>
      <c r="I21" s="29" t="s">
        <v>71</v>
      </c>
    </row>
    <row r="22" spans="1:9" x14ac:dyDescent="0.25">
      <c r="A22" s="27"/>
      <c r="B22" s="32">
        <f>$B$6</f>
        <v>38094</v>
      </c>
      <c r="C22" s="33">
        <f>-B7</f>
        <v>-250000</v>
      </c>
      <c r="D22" s="33"/>
      <c r="E22" s="34"/>
      <c r="F22" s="33">
        <f>B16</f>
        <v>3000</v>
      </c>
      <c r="G22" s="33">
        <f>SUM(C22:F22)</f>
        <v>-247000</v>
      </c>
      <c r="H22" s="33">
        <f t="shared" ref="H22:H34" si="0">G22/(1+$C$37)^((B22-$B$6)/365)</f>
        <v>-247000</v>
      </c>
      <c r="I22" s="33">
        <f>G22/(1+$I$18)^((B22-$B$6)/365)</f>
        <v>-247000</v>
      </c>
    </row>
    <row r="23" spans="1:9" x14ac:dyDescent="0.25">
      <c r="A23" s="27">
        <v>1</v>
      </c>
      <c r="B23" s="32">
        <f>EDATE(B22,1)</f>
        <v>38124</v>
      </c>
      <c r="C23" s="33">
        <f>PPMT($B$12,A23,$B$13,-$B$7,$B$8,$B$14)</f>
        <v>19439.578086289235</v>
      </c>
      <c r="D23" s="33">
        <f>IPMT($B$12,A23,$B$13,-$B$7,$B$8,$B$14)</f>
        <v>3124.9999999999995</v>
      </c>
      <c r="E23" s="34">
        <f t="shared" ref="E23:E34" si="1">$B$7*$B$15</f>
        <v>4750</v>
      </c>
      <c r="F23" s="33"/>
      <c r="G23" s="33">
        <f t="shared" ref="G23:G34" si="2">SUM(C23:F23)</f>
        <v>27314.578086289235</v>
      </c>
      <c r="H23" s="33">
        <f t="shared" si="0"/>
        <v>26120.792427892917</v>
      </c>
      <c r="I23" s="33">
        <f t="shared" ref="I23:I34" si="3">G23/(1+$I$18)^((B23-$B$6)/365)</f>
        <v>26120.792447169479</v>
      </c>
    </row>
    <row r="24" spans="1:9" x14ac:dyDescent="0.25">
      <c r="A24" s="27">
        <v>2</v>
      </c>
      <c r="B24" s="32">
        <f t="shared" ref="B24:B33" si="4">EDATE(B23,1)</f>
        <v>38155</v>
      </c>
      <c r="C24" s="33">
        <f t="shared" ref="C24:C34" si="5">PPMT($B$12,A24,$B$13,-$B$7,$B$8,$B$14)</f>
        <v>19682.572812367853</v>
      </c>
      <c r="D24" s="33">
        <f t="shared" ref="D24:D34" si="6">IPMT($B$12,A24,$B$13,-$B$7,$B$8,$B$14)</f>
        <v>2882.0052739213838</v>
      </c>
      <c r="E24" s="34">
        <f t="shared" si="1"/>
        <v>4750</v>
      </c>
      <c r="F24" s="33"/>
      <c r="G24" s="33">
        <f t="shared" si="2"/>
        <v>27314.578086289235</v>
      </c>
      <c r="H24" s="33">
        <f t="shared" si="0"/>
        <v>24941.999211663278</v>
      </c>
      <c r="I24" s="33">
        <f t="shared" si="3"/>
        <v>24941.999249090113</v>
      </c>
    </row>
    <row r="25" spans="1:9" x14ac:dyDescent="0.25">
      <c r="A25" s="27">
        <v>3</v>
      </c>
      <c r="B25" s="32">
        <f t="shared" si="4"/>
        <v>38185</v>
      </c>
      <c r="C25" s="33">
        <f t="shared" si="5"/>
        <v>19928.604972522447</v>
      </c>
      <c r="D25" s="33">
        <f t="shared" si="6"/>
        <v>2635.9731137667859</v>
      </c>
      <c r="E25" s="34">
        <f t="shared" si="1"/>
        <v>4750</v>
      </c>
      <c r="F25" s="33"/>
      <c r="G25" s="33">
        <f t="shared" si="2"/>
        <v>27314.578086289235</v>
      </c>
      <c r="H25" s="33">
        <f t="shared" si="0"/>
        <v>23851.907288714559</v>
      </c>
      <c r="I25" s="33">
        <f t="shared" si="3"/>
        <v>23851.907342107836</v>
      </c>
    </row>
    <row r="26" spans="1:9" x14ac:dyDescent="0.25">
      <c r="A26" s="27">
        <v>4</v>
      </c>
      <c r="B26" s="32">
        <f t="shared" si="4"/>
        <v>38216</v>
      </c>
      <c r="C26" s="33">
        <f t="shared" si="5"/>
        <v>20177.71253467898</v>
      </c>
      <c r="D26" s="33">
        <f t="shared" si="6"/>
        <v>2386.8655516102554</v>
      </c>
      <c r="E26" s="34">
        <f t="shared" si="1"/>
        <v>4750</v>
      </c>
      <c r="F26" s="33"/>
      <c r="G26" s="33">
        <f t="shared" si="2"/>
        <v>27314.578086289235</v>
      </c>
      <c r="H26" s="33">
        <f t="shared" si="0"/>
        <v>22775.50554540255</v>
      </c>
      <c r="I26" s="33">
        <f t="shared" si="3"/>
        <v>22775.505613754347</v>
      </c>
    </row>
    <row r="27" spans="1:9" x14ac:dyDescent="0.25">
      <c r="A27" s="27">
        <v>5</v>
      </c>
      <c r="B27" s="32">
        <f t="shared" si="4"/>
        <v>38247</v>
      </c>
      <c r="C27" s="33">
        <f t="shared" si="5"/>
        <v>20429.933941362469</v>
      </c>
      <c r="D27" s="33">
        <f t="shared" si="6"/>
        <v>2134.6441449267681</v>
      </c>
      <c r="E27" s="34">
        <f t="shared" si="1"/>
        <v>4750</v>
      </c>
      <c r="F27" s="33"/>
      <c r="G27" s="33">
        <f t="shared" si="2"/>
        <v>27314.578086289239</v>
      </c>
      <c r="H27" s="33">
        <f t="shared" si="0"/>
        <v>21747.680240820606</v>
      </c>
      <c r="I27" s="33">
        <f t="shared" si="3"/>
        <v>21747.680322672062</v>
      </c>
    </row>
    <row r="28" spans="1:9" x14ac:dyDescent="0.25">
      <c r="A28" s="27">
        <v>6</v>
      </c>
      <c r="B28" s="32">
        <f t="shared" si="4"/>
        <v>38277</v>
      </c>
      <c r="C28" s="33">
        <f t="shared" si="5"/>
        <v>20685.308115629497</v>
      </c>
      <c r="D28" s="33">
        <f t="shared" si="6"/>
        <v>1879.269970659738</v>
      </c>
      <c r="E28" s="34">
        <f t="shared" si="1"/>
        <v>4750</v>
      </c>
      <c r="F28" s="33"/>
      <c r="G28" s="33">
        <f t="shared" si="2"/>
        <v>27314.578086289235</v>
      </c>
      <c r="H28" s="33">
        <f t="shared" si="0"/>
        <v>20797.196265089246</v>
      </c>
      <c r="I28" s="33">
        <f t="shared" si="3"/>
        <v>20797.196358711251</v>
      </c>
    </row>
    <row r="29" spans="1:9" x14ac:dyDescent="0.25">
      <c r="A29" s="27">
        <v>7</v>
      </c>
      <c r="B29" s="32">
        <f t="shared" si="4"/>
        <v>38308</v>
      </c>
      <c r="C29" s="33">
        <f t="shared" si="5"/>
        <v>20943.874467074867</v>
      </c>
      <c r="D29" s="33">
        <f t="shared" si="6"/>
        <v>1620.7036192143689</v>
      </c>
      <c r="E29" s="34">
        <f t="shared" si="1"/>
        <v>4750</v>
      </c>
      <c r="F29" s="33"/>
      <c r="G29" s="33">
        <f t="shared" si="2"/>
        <v>27314.578086289235</v>
      </c>
      <c r="H29" s="33">
        <f t="shared" si="0"/>
        <v>19858.64916926283</v>
      </c>
      <c r="I29" s="33">
        <f t="shared" si="3"/>
        <v>19858.649273803563</v>
      </c>
    </row>
    <row r="30" spans="1:9" x14ac:dyDescent="0.25">
      <c r="A30" s="27">
        <v>8</v>
      </c>
      <c r="B30" s="32">
        <f t="shared" si="4"/>
        <v>38338</v>
      </c>
      <c r="C30" s="33">
        <f t="shared" si="5"/>
        <v>21205.6728979133</v>
      </c>
      <c r="D30" s="33">
        <f t="shared" si="6"/>
        <v>1358.905188375933</v>
      </c>
      <c r="E30" s="34">
        <f t="shared" si="1"/>
        <v>4750</v>
      </c>
      <c r="F30" s="33"/>
      <c r="G30" s="33">
        <f t="shared" si="2"/>
        <v>27314.578086289235</v>
      </c>
      <c r="H30" s="33">
        <f t="shared" si="0"/>
        <v>18990.725436430585</v>
      </c>
      <c r="I30" s="33">
        <f t="shared" si="3"/>
        <v>18990.72555041709</v>
      </c>
    </row>
    <row r="31" spans="1:9" x14ac:dyDescent="0.25">
      <c r="A31" s="27">
        <v>9</v>
      </c>
      <c r="B31" s="32">
        <f t="shared" si="4"/>
        <v>38369</v>
      </c>
      <c r="C31" s="33">
        <f t="shared" si="5"/>
        <v>21470.743809137217</v>
      </c>
      <c r="D31" s="33">
        <f t="shared" si="6"/>
        <v>1093.834277152017</v>
      </c>
      <c r="E31" s="34">
        <f t="shared" si="1"/>
        <v>4750</v>
      </c>
      <c r="F31" s="33"/>
      <c r="G31" s="33">
        <f t="shared" si="2"/>
        <v>27314.578086289235</v>
      </c>
      <c r="H31" s="33">
        <f t="shared" si="0"/>
        <v>18133.701730984376</v>
      </c>
      <c r="I31" s="33">
        <f t="shared" si="3"/>
        <v>18133.701853655188</v>
      </c>
    </row>
    <row r="32" spans="1:9" x14ac:dyDescent="0.25">
      <c r="A32" s="27">
        <v>10</v>
      </c>
      <c r="B32" s="32">
        <f t="shared" si="4"/>
        <v>38400</v>
      </c>
      <c r="C32" s="33">
        <f t="shared" si="5"/>
        <v>21739.128106751436</v>
      </c>
      <c r="D32" s="33">
        <f t="shared" si="6"/>
        <v>825.44997953780182</v>
      </c>
      <c r="E32" s="34">
        <f t="shared" si="1"/>
        <v>4750</v>
      </c>
      <c r="F32" s="33"/>
      <c r="G32" s="33">
        <f t="shared" si="2"/>
        <v>27314.578086289239</v>
      </c>
      <c r="H32" s="33">
        <f t="shared" si="0"/>
        <v>17315.354253792611</v>
      </c>
      <c r="I32" s="33">
        <f t="shared" si="3"/>
        <v>17315.354384131759</v>
      </c>
    </row>
    <row r="33" spans="1:9" x14ac:dyDescent="0.25">
      <c r="A33" s="27">
        <v>11</v>
      </c>
      <c r="B33" s="32">
        <f t="shared" si="4"/>
        <v>38428</v>
      </c>
      <c r="C33" s="33">
        <f t="shared" si="5"/>
        <v>22010.867208085827</v>
      </c>
      <c r="D33" s="33">
        <f t="shared" si="6"/>
        <v>553.71087820340892</v>
      </c>
      <c r="E33" s="34">
        <f t="shared" si="1"/>
        <v>4750</v>
      </c>
      <c r="F33" s="33"/>
      <c r="G33" s="33">
        <f t="shared" si="2"/>
        <v>27314.578086289235</v>
      </c>
      <c r="H33" s="33">
        <f t="shared" si="0"/>
        <v>16607.991319784502</v>
      </c>
      <c r="I33" s="33">
        <f t="shared" si="3"/>
        <v>16607.991456238306</v>
      </c>
    </row>
    <row r="34" spans="1:9" x14ac:dyDescent="0.25">
      <c r="A34" s="27">
        <v>12</v>
      </c>
      <c r="B34" s="32">
        <f t="shared" ref="B34" si="7">EDATE(B33,1)</f>
        <v>38459</v>
      </c>
      <c r="C34" s="33">
        <f t="shared" si="5"/>
        <v>22286.0030481869</v>
      </c>
      <c r="D34" s="33">
        <f t="shared" si="6"/>
        <v>278.57503810233618</v>
      </c>
      <c r="E34" s="34">
        <f t="shared" si="1"/>
        <v>4750</v>
      </c>
      <c r="F34" s="33"/>
      <c r="G34" s="33">
        <f t="shared" si="2"/>
        <v>27314.578086289235</v>
      </c>
      <c r="H34" s="33">
        <f t="shared" si="0"/>
        <v>15858.496925347332</v>
      </c>
      <c r="I34" s="33">
        <f t="shared" si="3"/>
        <v>15858.4970677365</v>
      </c>
    </row>
    <row r="35" spans="1:9" x14ac:dyDescent="0.25">
      <c r="A35" s="36"/>
      <c r="B35" s="39"/>
      <c r="C35" s="52">
        <f t="shared" ref="C35:I35" si="8">SUM(C22:C34)</f>
        <v>2.9103830456733704E-11</v>
      </c>
      <c r="D35" s="52">
        <f t="shared" si="8"/>
        <v>20774.937035470797</v>
      </c>
      <c r="E35" s="52">
        <f t="shared" si="8"/>
        <v>57000</v>
      </c>
      <c r="F35" s="52">
        <f t="shared" si="8"/>
        <v>3000</v>
      </c>
      <c r="G35" s="52">
        <f t="shared" si="8"/>
        <v>80774.937035470823</v>
      </c>
      <c r="H35" s="52">
        <f t="shared" si="8"/>
        <v>-1.8481464212527499E-4</v>
      </c>
      <c r="I35" s="52">
        <f t="shared" si="8"/>
        <v>9.1948751105519477E-4</v>
      </c>
    </row>
    <row r="36" spans="1:9" x14ac:dyDescent="0.25">
      <c r="E36" s="16"/>
    </row>
    <row r="37" spans="1:9" x14ac:dyDescent="0.25">
      <c r="A37" s="42" t="s">
        <v>57</v>
      </c>
      <c r="B37" s="42"/>
      <c r="C37" s="11">
        <f>XIRR(G22:G34,B22:B34)</f>
        <v>0.72239388227462764</v>
      </c>
      <c r="G37" s="56"/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47"/>
  <sheetViews>
    <sheetView workbookViewId="0">
      <selection activeCell="E47" sqref="E47"/>
    </sheetView>
  </sheetViews>
  <sheetFormatPr defaultRowHeight="15" x14ac:dyDescent="0.25"/>
  <cols>
    <col min="1" max="1" width="12.85546875" style="15" customWidth="1"/>
    <col min="2" max="2" width="13.140625" style="15" customWidth="1"/>
    <col min="3" max="3" width="13.7109375" style="15" bestFit="1" customWidth="1"/>
    <col min="4" max="4" width="13.5703125" style="15" customWidth="1"/>
    <col min="5" max="5" width="12.42578125" style="15" bestFit="1" customWidth="1"/>
    <col min="6" max="6" width="13.5703125" style="15" customWidth="1"/>
    <col min="7" max="7" width="9.140625" style="15"/>
    <col min="8" max="8" width="24.7109375" style="15" bestFit="1" customWidth="1"/>
    <col min="9" max="9" width="9.7109375" style="15" bestFit="1" customWidth="1"/>
    <col min="10" max="10" width="13.5703125" style="15" bestFit="1" customWidth="1"/>
    <col min="11" max="16384" width="9.140625" style="15"/>
  </cols>
  <sheetData>
    <row r="1" spans="1:8" x14ac:dyDescent="0.25">
      <c r="A1" s="17" t="s">
        <v>66</v>
      </c>
    </row>
    <row r="2" spans="1:8" x14ac:dyDescent="0.25">
      <c r="A2" s="17"/>
    </row>
    <row r="3" spans="1:8" x14ac:dyDescent="0.25">
      <c r="A3" s="27" t="s">
        <v>60</v>
      </c>
      <c r="B3" s="27"/>
      <c r="C3" s="51">
        <v>100000</v>
      </c>
    </row>
    <row r="4" spans="1:8" x14ac:dyDescent="0.25">
      <c r="A4" s="27" t="s">
        <v>61</v>
      </c>
      <c r="B4" s="27"/>
      <c r="C4" s="21">
        <v>0.15</v>
      </c>
    </row>
    <row r="5" spans="1:8" x14ac:dyDescent="0.25">
      <c r="A5" s="27" t="s">
        <v>62</v>
      </c>
      <c r="B5" s="27"/>
      <c r="C5" s="27">
        <v>12</v>
      </c>
    </row>
    <row r="6" spans="1:8" x14ac:dyDescent="0.25">
      <c r="A6" s="27" t="s">
        <v>34</v>
      </c>
      <c r="B6" s="27"/>
      <c r="C6" s="27">
        <v>1</v>
      </c>
      <c r="G6" s="48"/>
      <c r="H6" s="16"/>
    </row>
    <row r="7" spans="1:8" x14ac:dyDescent="0.25">
      <c r="A7" s="27" t="s">
        <v>63</v>
      </c>
      <c r="B7" s="27"/>
      <c r="C7" s="49">
        <f>EFFECT(C4,C5)</f>
        <v>0.16075451772299854</v>
      </c>
      <c r="G7" s="48"/>
      <c r="H7" s="16"/>
    </row>
    <row r="8" spans="1:8" x14ac:dyDescent="0.25">
      <c r="A8" s="36"/>
      <c r="B8" s="36"/>
      <c r="C8" s="18"/>
      <c r="G8" s="48"/>
      <c r="H8" s="16"/>
    </row>
    <row r="9" spans="1:8" x14ac:dyDescent="0.25">
      <c r="A9" s="17" t="s">
        <v>58</v>
      </c>
    </row>
    <row r="10" spans="1:8" hidden="1" x14ac:dyDescent="0.25"/>
    <row r="11" spans="1:8" x14ac:dyDescent="0.25">
      <c r="A11" s="43" t="s">
        <v>67</v>
      </c>
      <c r="B11" s="43" t="s">
        <v>68</v>
      </c>
      <c r="C11" s="43" t="s">
        <v>27</v>
      </c>
      <c r="D11" s="43" t="s">
        <v>26</v>
      </c>
      <c r="E11" s="43" t="s">
        <v>25</v>
      </c>
      <c r="F11" s="43" t="s">
        <v>24</v>
      </c>
    </row>
    <row r="12" spans="1:8" x14ac:dyDescent="0.25">
      <c r="A12" s="44">
        <v>42005</v>
      </c>
      <c r="B12" s="27">
        <v>0</v>
      </c>
      <c r="C12" s="35"/>
      <c r="D12" s="27"/>
      <c r="E12" s="35">
        <f>-F12</f>
        <v>-100000</v>
      </c>
      <c r="F12" s="35">
        <f>C3</f>
        <v>100000</v>
      </c>
    </row>
    <row r="13" spans="1:8" x14ac:dyDescent="0.25">
      <c r="A13" s="44">
        <v>42035</v>
      </c>
      <c r="B13" s="27">
        <v>1</v>
      </c>
      <c r="C13" s="35">
        <f>$C$3/$C$5</f>
        <v>8333.3333333333339</v>
      </c>
      <c r="D13" s="35">
        <f t="shared" ref="D13:D24" si="0">$C$4/$C$5*F12</f>
        <v>1250</v>
      </c>
      <c r="E13" s="35">
        <f t="shared" ref="E13:E24" si="1">C13+D13</f>
        <v>9583.3333333333339</v>
      </c>
      <c r="F13" s="35">
        <f t="shared" ref="F13:F24" si="2">F12-C13</f>
        <v>91666.666666666672</v>
      </c>
    </row>
    <row r="14" spans="1:8" x14ac:dyDescent="0.25">
      <c r="A14" s="44">
        <v>42063</v>
      </c>
      <c r="B14" s="27">
        <v>2</v>
      </c>
      <c r="C14" s="35">
        <f t="shared" ref="C14:C24" si="3">$C$3/$C$5</f>
        <v>8333.3333333333339</v>
      </c>
      <c r="D14" s="35">
        <f t="shared" si="0"/>
        <v>1145.8333333333333</v>
      </c>
      <c r="E14" s="35">
        <f t="shared" si="1"/>
        <v>9479.1666666666679</v>
      </c>
      <c r="F14" s="35">
        <f t="shared" si="2"/>
        <v>83333.333333333343</v>
      </c>
    </row>
    <row r="15" spans="1:8" x14ac:dyDescent="0.25">
      <c r="A15" s="44">
        <v>42094</v>
      </c>
      <c r="B15" s="27">
        <v>3</v>
      </c>
      <c r="C15" s="35">
        <f t="shared" si="3"/>
        <v>8333.3333333333339</v>
      </c>
      <c r="D15" s="35">
        <f t="shared" si="0"/>
        <v>1041.6666666666667</v>
      </c>
      <c r="E15" s="35">
        <f t="shared" si="1"/>
        <v>9375</v>
      </c>
      <c r="F15" s="35">
        <f t="shared" si="2"/>
        <v>75000.000000000015</v>
      </c>
    </row>
    <row r="16" spans="1:8" x14ac:dyDescent="0.25">
      <c r="A16" s="44">
        <v>42124</v>
      </c>
      <c r="B16" s="27">
        <v>4</v>
      </c>
      <c r="C16" s="35">
        <f t="shared" si="3"/>
        <v>8333.3333333333339</v>
      </c>
      <c r="D16" s="35">
        <f t="shared" si="0"/>
        <v>937.50000000000011</v>
      </c>
      <c r="E16" s="35">
        <f t="shared" si="1"/>
        <v>9270.8333333333339</v>
      </c>
      <c r="F16" s="35">
        <f t="shared" si="2"/>
        <v>66666.666666666686</v>
      </c>
    </row>
    <row r="17" spans="1:10" x14ac:dyDescent="0.25">
      <c r="A17" s="44">
        <v>42155</v>
      </c>
      <c r="B17" s="27">
        <v>5</v>
      </c>
      <c r="C17" s="35">
        <f t="shared" si="3"/>
        <v>8333.3333333333339</v>
      </c>
      <c r="D17" s="35">
        <f t="shared" si="0"/>
        <v>833.33333333333348</v>
      </c>
      <c r="E17" s="35">
        <f t="shared" si="1"/>
        <v>9166.6666666666679</v>
      </c>
      <c r="F17" s="35">
        <f t="shared" si="2"/>
        <v>58333.33333333335</v>
      </c>
    </row>
    <row r="18" spans="1:10" x14ac:dyDescent="0.25">
      <c r="A18" s="44">
        <v>42185</v>
      </c>
      <c r="B18" s="27">
        <v>6</v>
      </c>
      <c r="C18" s="35">
        <f t="shared" si="3"/>
        <v>8333.3333333333339</v>
      </c>
      <c r="D18" s="35">
        <f t="shared" si="0"/>
        <v>729.16666666666686</v>
      </c>
      <c r="E18" s="35">
        <f t="shared" si="1"/>
        <v>9062.5</v>
      </c>
      <c r="F18" s="35">
        <f t="shared" si="2"/>
        <v>50000.000000000015</v>
      </c>
    </row>
    <row r="19" spans="1:10" x14ac:dyDescent="0.25">
      <c r="A19" s="44">
        <v>42216</v>
      </c>
      <c r="B19" s="27">
        <v>7</v>
      </c>
      <c r="C19" s="35">
        <f t="shared" si="3"/>
        <v>8333.3333333333339</v>
      </c>
      <c r="D19" s="35">
        <f t="shared" si="0"/>
        <v>625.00000000000011</v>
      </c>
      <c r="E19" s="35">
        <f t="shared" si="1"/>
        <v>8958.3333333333339</v>
      </c>
      <c r="F19" s="35">
        <f t="shared" si="2"/>
        <v>41666.666666666679</v>
      </c>
    </row>
    <row r="20" spans="1:10" x14ac:dyDescent="0.25">
      <c r="A20" s="44">
        <v>42247</v>
      </c>
      <c r="B20" s="27">
        <v>8</v>
      </c>
      <c r="C20" s="35">
        <f t="shared" si="3"/>
        <v>8333.3333333333339</v>
      </c>
      <c r="D20" s="35">
        <f t="shared" si="0"/>
        <v>520.83333333333348</v>
      </c>
      <c r="E20" s="35">
        <f t="shared" si="1"/>
        <v>8854.1666666666679</v>
      </c>
      <c r="F20" s="35">
        <f t="shared" si="2"/>
        <v>33333.333333333343</v>
      </c>
    </row>
    <row r="21" spans="1:10" x14ac:dyDescent="0.25">
      <c r="A21" s="44">
        <v>42277</v>
      </c>
      <c r="B21" s="27">
        <v>9</v>
      </c>
      <c r="C21" s="35">
        <f t="shared" si="3"/>
        <v>8333.3333333333339</v>
      </c>
      <c r="D21" s="35">
        <f t="shared" si="0"/>
        <v>416.66666666666674</v>
      </c>
      <c r="E21" s="35">
        <f t="shared" si="1"/>
        <v>8750</v>
      </c>
      <c r="F21" s="35">
        <f t="shared" si="2"/>
        <v>25000.000000000007</v>
      </c>
      <c r="J21" s="60"/>
    </row>
    <row r="22" spans="1:10" x14ac:dyDescent="0.25">
      <c r="A22" s="44">
        <v>42308</v>
      </c>
      <c r="B22" s="27">
        <v>10</v>
      </c>
      <c r="C22" s="35">
        <f t="shared" si="3"/>
        <v>8333.3333333333339</v>
      </c>
      <c r="D22" s="35">
        <f t="shared" si="0"/>
        <v>312.50000000000006</v>
      </c>
      <c r="E22" s="35">
        <f t="shared" si="1"/>
        <v>8645.8333333333339</v>
      </c>
      <c r="F22" s="35">
        <f t="shared" si="2"/>
        <v>16666.666666666672</v>
      </c>
    </row>
    <row r="23" spans="1:10" x14ac:dyDescent="0.25">
      <c r="A23" s="44">
        <v>42338</v>
      </c>
      <c r="B23" s="27">
        <v>11</v>
      </c>
      <c r="C23" s="35">
        <f t="shared" si="3"/>
        <v>8333.3333333333339</v>
      </c>
      <c r="D23" s="35">
        <f t="shared" si="0"/>
        <v>208.33333333333337</v>
      </c>
      <c r="E23" s="35">
        <f t="shared" si="1"/>
        <v>8541.6666666666679</v>
      </c>
      <c r="F23" s="35">
        <f t="shared" si="2"/>
        <v>8333.3333333333376</v>
      </c>
    </row>
    <row r="24" spans="1:10" x14ac:dyDescent="0.25">
      <c r="A24" s="44">
        <v>42369</v>
      </c>
      <c r="B24" s="27">
        <v>12</v>
      </c>
      <c r="C24" s="35">
        <f t="shared" si="3"/>
        <v>8333.3333333333339</v>
      </c>
      <c r="D24" s="35">
        <f t="shared" si="0"/>
        <v>104.16666666666671</v>
      </c>
      <c r="E24" s="35">
        <f t="shared" si="1"/>
        <v>8437.5</v>
      </c>
      <c r="F24" s="35">
        <f t="shared" si="2"/>
        <v>0</v>
      </c>
    </row>
    <row r="25" spans="1:10" x14ac:dyDescent="0.25">
      <c r="A25" s="27"/>
      <c r="B25" s="27"/>
      <c r="C25" s="41">
        <f>SUM(C13:C24)</f>
        <v>99999.999999999985</v>
      </c>
      <c r="D25" s="41">
        <f>SUM(D13:D24)</f>
        <v>8125.0000000000009</v>
      </c>
      <c r="E25" s="41">
        <f>SUM(E13:E24)</f>
        <v>108125</v>
      </c>
      <c r="F25" s="35"/>
    </row>
    <row r="26" spans="1:10" x14ac:dyDescent="0.25">
      <c r="A26" s="36"/>
      <c r="B26" s="36"/>
      <c r="C26" s="45"/>
      <c r="D26" s="45"/>
      <c r="E26" s="45"/>
      <c r="F26" s="40"/>
    </row>
    <row r="27" spans="1:10" x14ac:dyDescent="0.25">
      <c r="A27" s="36"/>
      <c r="B27" s="46"/>
      <c r="C27" s="46"/>
      <c r="D27" s="46" t="s">
        <v>64</v>
      </c>
      <c r="E27" s="50">
        <f>XIRR(E12:E24,A12:A24)</f>
        <v>0.16242952942848213</v>
      </c>
      <c r="F27" s="40"/>
    </row>
    <row r="28" spans="1:10" x14ac:dyDescent="0.25">
      <c r="A28" s="36"/>
      <c r="B28" s="36"/>
      <c r="C28" s="45"/>
      <c r="D28" s="45"/>
      <c r="E28" s="45"/>
      <c r="F28" s="40"/>
    </row>
    <row r="29" spans="1:10" x14ac:dyDescent="0.25">
      <c r="A29" s="47" t="s">
        <v>59</v>
      </c>
      <c r="B29" s="36"/>
      <c r="C29" s="45"/>
      <c r="D29" s="45"/>
      <c r="E29" s="45"/>
      <c r="F29" s="40"/>
    </row>
    <row r="30" spans="1:10" hidden="1" x14ac:dyDescent="0.25"/>
    <row r="31" spans="1:10" x14ac:dyDescent="0.25">
      <c r="A31" s="43" t="str">
        <f>A11</f>
        <v>дата</v>
      </c>
      <c r="B31" s="43" t="str">
        <f t="shared" ref="B31:F31" si="4">B11</f>
        <v>период</v>
      </c>
      <c r="C31" s="43" t="str">
        <f t="shared" si="4"/>
        <v>Тело Кредита</v>
      </c>
      <c r="D31" s="43" t="str">
        <f t="shared" si="4"/>
        <v>процент</v>
      </c>
      <c r="E31" s="43" t="str">
        <f t="shared" si="4"/>
        <v>платеж</v>
      </c>
      <c r="F31" s="43" t="str">
        <f t="shared" si="4"/>
        <v>остаток</v>
      </c>
    </row>
    <row r="32" spans="1:10" x14ac:dyDescent="0.25">
      <c r="A32" s="44">
        <v>42005</v>
      </c>
      <c r="B32" s="27">
        <v>0</v>
      </c>
      <c r="C32" s="27"/>
      <c r="D32" s="27"/>
      <c r="E32" s="35">
        <f>E12</f>
        <v>-100000</v>
      </c>
      <c r="F32" s="27"/>
    </row>
    <row r="33" spans="1:6" x14ac:dyDescent="0.25">
      <c r="A33" s="44">
        <f t="shared" ref="A33:A44" si="5">A13</f>
        <v>42035</v>
      </c>
      <c r="B33" s="27">
        <v>1</v>
      </c>
      <c r="C33" s="35">
        <f t="shared" ref="C33:C44" si="6">PPMT($C$4/$C$5,B33,$C$5,-$C$3)</f>
        <v>7775.8312345156937</v>
      </c>
      <c r="D33" s="35">
        <f t="shared" ref="D33:D44" si="7">IPMT($C$4/$C$5,B33,$C$5,-$C$3)</f>
        <v>1250</v>
      </c>
      <c r="E33" s="35">
        <f t="shared" ref="E33:E44" si="8">D33+C33</f>
        <v>9025.8312345156937</v>
      </c>
      <c r="F33" s="35">
        <f>$C$3-SUM($C$33:C33)</f>
        <v>92224.168765484312</v>
      </c>
    </row>
    <row r="34" spans="1:6" x14ac:dyDescent="0.25">
      <c r="A34" s="44">
        <f t="shared" si="5"/>
        <v>42063</v>
      </c>
      <c r="B34" s="27">
        <v>2</v>
      </c>
      <c r="C34" s="35">
        <f t="shared" si="6"/>
        <v>7873.0291249471402</v>
      </c>
      <c r="D34" s="35">
        <f t="shared" si="7"/>
        <v>1152.8021095685535</v>
      </c>
      <c r="E34" s="35">
        <f t="shared" si="8"/>
        <v>9025.8312345156937</v>
      </c>
      <c r="F34" s="35">
        <f>$C$3-SUM($C$33:C34)</f>
        <v>84351.139640537163</v>
      </c>
    </row>
    <row r="35" spans="1:6" x14ac:dyDescent="0.25">
      <c r="A35" s="44">
        <f t="shared" si="5"/>
        <v>42094</v>
      </c>
      <c r="B35" s="27">
        <v>3</v>
      </c>
      <c r="C35" s="35">
        <f t="shared" si="6"/>
        <v>7971.4419890089785</v>
      </c>
      <c r="D35" s="35">
        <f t="shared" si="7"/>
        <v>1054.3892455067144</v>
      </c>
      <c r="E35" s="35">
        <f t="shared" si="8"/>
        <v>9025.8312345156919</v>
      </c>
      <c r="F35" s="35">
        <f>$C$3-SUM($C$33:C35)</f>
        <v>76379.697651528186</v>
      </c>
    </row>
    <row r="36" spans="1:6" x14ac:dyDescent="0.25">
      <c r="A36" s="44">
        <f t="shared" si="5"/>
        <v>42124</v>
      </c>
      <c r="B36" s="27">
        <v>4</v>
      </c>
      <c r="C36" s="35">
        <f t="shared" si="6"/>
        <v>8071.0850138715914</v>
      </c>
      <c r="D36" s="35">
        <f t="shared" si="7"/>
        <v>954.7462206441021</v>
      </c>
      <c r="E36" s="35">
        <f t="shared" si="8"/>
        <v>9025.8312345156937</v>
      </c>
      <c r="F36" s="35">
        <f>$C$3-SUM($C$33:C36)</f>
        <v>68308.612637656595</v>
      </c>
    </row>
    <row r="37" spans="1:6" x14ac:dyDescent="0.25">
      <c r="A37" s="44">
        <f t="shared" si="5"/>
        <v>42155</v>
      </c>
      <c r="B37" s="27">
        <v>5</v>
      </c>
      <c r="C37" s="35">
        <f t="shared" si="6"/>
        <v>8171.9735765449868</v>
      </c>
      <c r="D37" s="35">
        <f t="shared" si="7"/>
        <v>853.85765797070735</v>
      </c>
      <c r="E37" s="35">
        <f t="shared" si="8"/>
        <v>9025.8312345156937</v>
      </c>
      <c r="F37" s="35">
        <f>$C$3-SUM($C$33:C37)</f>
        <v>60136.639061111615</v>
      </c>
    </row>
    <row r="38" spans="1:6" x14ac:dyDescent="0.25">
      <c r="A38" s="44">
        <f t="shared" si="5"/>
        <v>42185</v>
      </c>
      <c r="B38" s="27">
        <v>6</v>
      </c>
      <c r="C38" s="35">
        <f t="shared" si="6"/>
        <v>8274.1232462517983</v>
      </c>
      <c r="D38" s="35">
        <f t="shared" si="7"/>
        <v>751.707988263895</v>
      </c>
      <c r="E38" s="35">
        <f t="shared" si="8"/>
        <v>9025.8312345156937</v>
      </c>
      <c r="F38" s="35">
        <f>$C$3-SUM($C$33:C38)</f>
        <v>51862.515814859813</v>
      </c>
    </row>
    <row r="39" spans="1:6" x14ac:dyDescent="0.25">
      <c r="A39" s="44">
        <f t="shared" si="5"/>
        <v>42216</v>
      </c>
      <c r="B39" s="27">
        <v>7</v>
      </c>
      <c r="C39" s="35">
        <f t="shared" si="6"/>
        <v>8377.5497868299462</v>
      </c>
      <c r="D39" s="35">
        <f t="shared" si="7"/>
        <v>648.28144768574748</v>
      </c>
      <c r="E39" s="35">
        <f t="shared" si="8"/>
        <v>9025.8312345156937</v>
      </c>
      <c r="F39" s="35">
        <f>$C$3-SUM($C$33:C39)</f>
        <v>43484.96602802987</v>
      </c>
    </row>
    <row r="40" spans="1:6" x14ac:dyDescent="0.25">
      <c r="A40" s="44">
        <f t="shared" si="5"/>
        <v>42247</v>
      </c>
      <c r="B40" s="27">
        <v>8</v>
      </c>
      <c r="C40" s="35">
        <f t="shared" si="6"/>
        <v>8482.2691591653202</v>
      </c>
      <c r="D40" s="35">
        <f t="shared" si="7"/>
        <v>543.56207535037311</v>
      </c>
      <c r="E40" s="35">
        <f t="shared" si="8"/>
        <v>9025.8312345156937</v>
      </c>
      <c r="F40" s="35">
        <f>$C$3-SUM($C$33:C40)</f>
        <v>35002.69686886455</v>
      </c>
    </row>
    <row r="41" spans="1:6" x14ac:dyDescent="0.25">
      <c r="A41" s="44">
        <f t="shared" si="5"/>
        <v>42277</v>
      </c>
      <c r="B41" s="27">
        <v>9</v>
      </c>
      <c r="C41" s="35">
        <f t="shared" si="6"/>
        <v>8588.2975236548864</v>
      </c>
      <c r="D41" s="35">
        <f t="shared" si="7"/>
        <v>437.53371086080676</v>
      </c>
      <c r="E41" s="35">
        <f t="shared" si="8"/>
        <v>9025.8312345156937</v>
      </c>
      <c r="F41" s="35">
        <f>$C$3-SUM($C$33:C41)</f>
        <v>26414.399345209662</v>
      </c>
    </row>
    <row r="42" spans="1:6" x14ac:dyDescent="0.25">
      <c r="A42" s="44">
        <f t="shared" si="5"/>
        <v>42308</v>
      </c>
      <c r="B42" s="27">
        <v>10</v>
      </c>
      <c r="C42" s="35">
        <f t="shared" si="6"/>
        <v>8695.6512427005728</v>
      </c>
      <c r="D42" s="35">
        <f t="shared" si="7"/>
        <v>330.17999181512073</v>
      </c>
      <c r="E42" s="35">
        <f t="shared" si="8"/>
        <v>9025.8312345156937</v>
      </c>
      <c r="F42" s="35">
        <f>$C$3-SUM($C$33:C42)</f>
        <v>17718.748102509096</v>
      </c>
    </row>
    <row r="43" spans="1:6" x14ac:dyDescent="0.25">
      <c r="A43" s="44">
        <f t="shared" si="5"/>
        <v>42338</v>
      </c>
      <c r="B43" s="27">
        <v>11</v>
      </c>
      <c r="C43" s="35">
        <f t="shared" si="6"/>
        <v>8804.3468832343297</v>
      </c>
      <c r="D43" s="35">
        <f t="shared" si="7"/>
        <v>221.48435128136356</v>
      </c>
      <c r="E43" s="35">
        <f t="shared" si="8"/>
        <v>9025.8312345156937</v>
      </c>
      <c r="F43" s="35">
        <f>$C$3-SUM($C$33:C43)</f>
        <v>8914.4012192747614</v>
      </c>
    </row>
    <row r="44" spans="1:6" x14ac:dyDescent="0.25">
      <c r="A44" s="44">
        <f t="shared" si="5"/>
        <v>42369</v>
      </c>
      <c r="B44" s="27">
        <v>12</v>
      </c>
      <c r="C44" s="35">
        <f t="shared" si="6"/>
        <v>8914.4012192747596</v>
      </c>
      <c r="D44" s="35">
        <f t="shared" si="7"/>
        <v>111.43001524093447</v>
      </c>
      <c r="E44" s="35">
        <f t="shared" si="8"/>
        <v>9025.8312345156937</v>
      </c>
      <c r="F44" s="35">
        <f>$C$3-SUM($C$33:C44)</f>
        <v>0</v>
      </c>
    </row>
    <row r="45" spans="1:6" x14ac:dyDescent="0.25">
      <c r="A45" s="44"/>
      <c r="B45" s="27"/>
      <c r="C45" s="41">
        <f>SUM(C33:C44)</f>
        <v>100000</v>
      </c>
      <c r="D45" s="41">
        <f>SUM(D33:D44)</f>
        <v>8309.9748141883192</v>
      </c>
      <c r="E45" s="41">
        <f>SUM(E33:E44)</f>
        <v>108309.9748141883</v>
      </c>
      <c r="F45" s="27"/>
    </row>
    <row r="47" spans="1:6" x14ac:dyDescent="0.25">
      <c r="B47" s="46"/>
      <c r="C47" s="46"/>
      <c r="D47" s="46" t="s">
        <v>65</v>
      </c>
      <c r="E47" s="50">
        <f>XIRR(E32:E44,A32:A44)</f>
        <v>0.16238471865653994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79"/>
  <sheetViews>
    <sheetView workbookViewId="0">
      <selection activeCell="C6" sqref="C6"/>
    </sheetView>
  </sheetViews>
  <sheetFormatPr defaultRowHeight="15" x14ac:dyDescent="0.25"/>
  <cols>
    <col min="1" max="1" width="12.85546875" style="15" customWidth="1"/>
    <col min="2" max="2" width="15.42578125" style="15" customWidth="1"/>
    <col min="3" max="3" width="13.7109375" style="15" bestFit="1" customWidth="1"/>
    <col min="4" max="4" width="13.5703125" style="15" customWidth="1"/>
    <col min="5" max="5" width="14" style="15" bestFit="1" customWidth="1"/>
    <col min="6" max="6" width="13.5703125" style="15" customWidth="1"/>
    <col min="7" max="7" width="9.140625" style="15"/>
    <col min="8" max="8" width="11.5703125" style="15" customWidth="1"/>
    <col min="9" max="9" width="9.7109375" style="15" bestFit="1" customWidth="1"/>
    <col min="10" max="10" width="13.7109375" style="15" bestFit="1" customWidth="1"/>
    <col min="11" max="11" width="11.7109375" style="15" bestFit="1" customWidth="1"/>
    <col min="12" max="12" width="14" style="15" bestFit="1" customWidth="1"/>
    <col min="13" max="13" width="11.7109375" style="15" bestFit="1" customWidth="1"/>
    <col min="14" max="16384" width="9.140625" style="15"/>
  </cols>
  <sheetData>
    <row r="1" spans="1:13" x14ac:dyDescent="0.25">
      <c r="A1" s="17" t="s">
        <v>66</v>
      </c>
    </row>
    <row r="2" spans="1:13" x14ac:dyDescent="0.25">
      <c r="A2" s="17"/>
    </row>
    <row r="3" spans="1:13" x14ac:dyDescent="0.25">
      <c r="A3" s="27" t="s">
        <v>60</v>
      </c>
      <c r="B3" s="27"/>
      <c r="C3" s="51">
        <v>1000000</v>
      </c>
    </row>
    <row r="4" spans="1:13" x14ac:dyDescent="0.25">
      <c r="A4" s="27" t="s">
        <v>61</v>
      </c>
      <c r="B4" s="27"/>
      <c r="C4" s="21">
        <v>0.15</v>
      </c>
    </row>
    <row r="5" spans="1:13" x14ac:dyDescent="0.25">
      <c r="A5" s="58" t="s">
        <v>70</v>
      </c>
      <c r="B5" s="27"/>
      <c r="C5" s="27">
        <v>12</v>
      </c>
    </row>
    <row r="6" spans="1:13" x14ac:dyDescent="0.25">
      <c r="A6" s="27" t="s">
        <v>34</v>
      </c>
      <c r="B6" s="27"/>
      <c r="C6" s="27">
        <v>5</v>
      </c>
      <c r="G6" s="48"/>
      <c r="H6" s="16"/>
    </row>
    <row r="7" spans="1:13" x14ac:dyDescent="0.25">
      <c r="A7" s="36"/>
      <c r="B7" s="36"/>
      <c r="C7" s="18"/>
      <c r="G7" s="48"/>
      <c r="H7" s="16"/>
    </row>
    <row r="8" spans="1:13" x14ac:dyDescent="0.25">
      <c r="A8" s="36"/>
      <c r="B8" s="36"/>
      <c r="C8" s="18"/>
      <c r="G8" s="48"/>
      <c r="H8" s="16"/>
    </row>
    <row r="9" spans="1:13" x14ac:dyDescent="0.25">
      <c r="A9" s="46"/>
      <c r="B9" s="46"/>
      <c r="C9" s="46" t="s">
        <v>64</v>
      </c>
      <c r="D9" s="50">
        <f>XIRR(E13:E73,A13:A73)</f>
        <v>0.16102289557456975</v>
      </c>
      <c r="G9" s="48"/>
      <c r="H9" s="57" t="s">
        <v>65</v>
      </c>
      <c r="I9" s="46"/>
      <c r="J9" s="46"/>
      <c r="K9" s="50">
        <f>XIRR(L13:L73,H13:H73)</f>
        <v>0.16098524928092958</v>
      </c>
    </row>
    <row r="10" spans="1:13" x14ac:dyDescent="0.25">
      <c r="A10" s="17" t="s">
        <v>58</v>
      </c>
      <c r="H10" s="47" t="s">
        <v>59</v>
      </c>
      <c r="I10" s="36"/>
      <c r="J10" s="45"/>
      <c r="K10" s="45"/>
      <c r="L10" s="45"/>
      <c r="M10" s="40"/>
    </row>
    <row r="11" spans="1:13" hidden="1" x14ac:dyDescent="0.25"/>
    <row r="12" spans="1:13" x14ac:dyDescent="0.25">
      <c r="A12" s="43" t="s">
        <v>67</v>
      </c>
      <c r="B12" s="43" t="s">
        <v>68</v>
      </c>
      <c r="C12" s="43" t="s">
        <v>27</v>
      </c>
      <c r="D12" s="43" t="s">
        <v>26</v>
      </c>
      <c r="E12" s="43" t="s">
        <v>25</v>
      </c>
      <c r="F12" s="43" t="s">
        <v>24</v>
      </c>
      <c r="H12" s="43" t="str">
        <f t="shared" ref="H12:M12" si="0">A12</f>
        <v>дата</v>
      </c>
      <c r="I12" s="43" t="str">
        <f t="shared" si="0"/>
        <v>период</v>
      </c>
      <c r="J12" s="43" t="str">
        <f t="shared" si="0"/>
        <v>Тело Кредита</v>
      </c>
      <c r="K12" s="43" t="str">
        <f t="shared" si="0"/>
        <v>процент</v>
      </c>
      <c r="L12" s="43" t="str">
        <f t="shared" si="0"/>
        <v>платеж</v>
      </c>
      <c r="M12" s="43" t="str">
        <f t="shared" si="0"/>
        <v>остаток</v>
      </c>
    </row>
    <row r="13" spans="1:13" x14ac:dyDescent="0.25">
      <c r="A13" s="44">
        <v>42005</v>
      </c>
      <c r="B13" s="27">
        <v>0</v>
      </c>
      <c r="C13" s="35"/>
      <c r="D13" s="27"/>
      <c r="E13" s="35">
        <f>-F13</f>
        <v>-1000000</v>
      </c>
      <c r="F13" s="35">
        <f>C3</f>
        <v>1000000</v>
      </c>
      <c r="H13" s="44">
        <f>A13</f>
        <v>42005</v>
      </c>
      <c r="I13" s="27">
        <f>B13</f>
        <v>0</v>
      </c>
      <c r="J13" s="27"/>
      <c r="K13" s="27"/>
      <c r="L13" s="35">
        <f>E13</f>
        <v>-1000000</v>
      </c>
      <c r="M13" s="27"/>
    </row>
    <row r="14" spans="1:13" x14ac:dyDescent="0.25">
      <c r="A14" s="44">
        <v>42035</v>
      </c>
      <c r="B14" s="27">
        <v>1</v>
      </c>
      <c r="C14" s="35">
        <f>$C$3/($C$5*$C$6)</f>
        <v>16666.666666666668</v>
      </c>
      <c r="D14" s="35">
        <f>$C$4/$C$5*F13</f>
        <v>12499.999999999998</v>
      </c>
      <c r="E14" s="35">
        <f t="shared" ref="E14:E25" si="1">C14+D14</f>
        <v>29166.666666666664</v>
      </c>
      <c r="F14" s="35">
        <f t="shared" ref="F14:F25" si="2">F13-C14</f>
        <v>983333.33333333337</v>
      </c>
      <c r="H14" s="44">
        <f t="shared" ref="H14:H73" si="3">A14</f>
        <v>42035</v>
      </c>
      <c r="I14" s="27">
        <f t="shared" ref="I14:I73" si="4">B14</f>
        <v>1</v>
      </c>
      <c r="J14" s="35">
        <f>PPMT($C$4/$C$5,I14,$C$5*$C$6,-$C$3)</f>
        <v>11289.930086358734</v>
      </c>
      <c r="K14" s="35">
        <f>IPMT($C$4/$C$5,I14,$C$5*$C$6,-$C$3)</f>
        <v>12499.999999999998</v>
      </c>
      <c r="L14" s="35">
        <f t="shared" ref="L14" si="5">K14+J14</f>
        <v>23789.930086358734</v>
      </c>
      <c r="M14" s="35">
        <f>$C$3-SUM($J$14:J14)</f>
        <v>988710.06991364132</v>
      </c>
    </row>
    <row r="15" spans="1:13" x14ac:dyDescent="0.25">
      <c r="A15" s="44">
        <v>42063</v>
      </c>
      <c r="B15" s="27">
        <v>2</v>
      </c>
      <c r="C15" s="35">
        <f t="shared" ref="C15:C73" si="6">$C$3/($C$5*$C$6)</f>
        <v>16666.666666666668</v>
      </c>
      <c r="D15" s="35">
        <f t="shared" ref="D15:D73" si="7">$C$4/$C$5*F14</f>
        <v>12291.666666666666</v>
      </c>
      <c r="E15" s="35">
        <f t="shared" si="1"/>
        <v>28958.333333333336</v>
      </c>
      <c r="F15" s="35">
        <f t="shared" si="2"/>
        <v>966666.66666666674</v>
      </c>
      <c r="H15" s="44">
        <f t="shared" si="3"/>
        <v>42063</v>
      </c>
      <c r="I15" s="27">
        <f t="shared" si="4"/>
        <v>2</v>
      </c>
      <c r="J15" s="35">
        <f t="shared" ref="J15:J73" si="8">PPMT($C$4/$C$5,I15,$C$5*$C$6,-$C$3)</f>
        <v>11431.054212438217</v>
      </c>
      <c r="K15" s="35">
        <f t="shared" ref="K15:K18" si="9">IPMT($C$4/$C$5,I15,$C$5*$C$6,-$C$3)</f>
        <v>12358.875873920513</v>
      </c>
      <c r="L15" s="35">
        <f t="shared" ref="L15:L18" si="10">K15+J15</f>
        <v>23789.93008635873</v>
      </c>
      <c r="M15" s="35">
        <f>$C$3-SUM($J$14:J15)</f>
        <v>977279.01570120302</v>
      </c>
    </row>
    <row r="16" spans="1:13" x14ac:dyDescent="0.25">
      <c r="A16" s="44">
        <v>42094</v>
      </c>
      <c r="B16" s="27">
        <v>3</v>
      </c>
      <c r="C16" s="35">
        <f t="shared" si="6"/>
        <v>16666.666666666668</v>
      </c>
      <c r="D16" s="35">
        <f t="shared" si="7"/>
        <v>12083.333333333334</v>
      </c>
      <c r="E16" s="35">
        <f t="shared" si="1"/>
        <v>28750</v>
      </c>
      <c r="F16" s="35">
        <f t="shared" si="2"/>
        <v>950000.00000000012</v>
      </c>
      <c r="H16" s="44">
        <f t="shared" si="3"/>
        <v>42094</v>
      </c>
      <c r="I16" s="27">
        <f t="shared" si="4"/>
        <v>3</v>
      </c>
      <c r="J16" s="35">
        <f t="shared" si="8"/>
        <v>11573.942390093696</v>
      </c>
      <c r="K16" s="35">
        <f t="shared" si="9"/>
        <v>12215.987696265038</v>
      </c>
      <c r="L16" s="35">
        <f t="shared" si="10"/>
        <v>23789.930086358734</v>
      </c>
      <c r="M16" s="35">
        <f>$C$3-SUM($J$14:J16)</f>
        <v>965705.07331110933</v>
      </c>
    </row>
    <row r="17" spans="1:13" x14ac:dyDescent="0.25">
      <c r="A17" s="44">
        <v>42124</v>
      </c>
      <c r="B17" s="27">
        <v>4</v>
      </c>
      <c r="C17" s="35">
        <f t="shared" si="6"/>
        <v>16666.666666666668</v>
      </c>
      <c r="D17" s="35">
        <f t="shared" si="7"/>
        <v>11875</v>
      </c>
      <c r="E17" s="35">
        <f t="shared" si="1"/>
        <v>28541.666666666668</v>
      </c>
      <c r="F17" s="35">
        <f t="shared" si="2"/>
        <v>933333.33333333349</v>
      </c>
      <c r="H17" s="44">
        <f t="shared" si="3"/>
        <v>42124</v>
      </c>
      <c r="I17" s="27">
        <f t="shared" si="4"/>
        <v>4</v>
      </c>
      <c r="J17" s="35">
        <f t="shared" si="8"/>
        <v>11718.616669969868</v>
      </c>
      <c r="K17" s="35">
        <f t="shared" si="9"/>
        <v>12071.313416388866</v>
      </c>
      <c r="L17" s="35">
        <f t="shared" si="10"/>
        <v>23789.930086358734</v>
      </c>
      <c r="M17" s="35">
        <f>$C$3-SUM($J$14:J17)</f>
        <v>953986.45664113946</v>
      </c>
    </row>
    <row r="18" spans="1:13" x14ac:dyDescent="0.25">
      <c r="A18" s="44">
        <v>42155</v>
      </c>
      <c r="B18" s="27">
        <v>5</v>
      </c>
      <c r="C18" s="35">
        <f t="shared" si="6"/>
        <v>16666.666666666668</v>
      </c>
      <c r="D18" s="35">
        <f t="shared" si="7"/>
        <v>11666.666666666668</v>
      </c>
      <c r="E18" s="35">
        <f t="shared" si="1"/>
        <v>28333.333333333336</v>
      </c>
      <c r="F18" s="35">
        <f t="shared" si="2"/>
        <v>916666.66666666686</v>
      </c>
      <c r="H18" s="44">
        <f t="shared" si="3"/>
        <v>42155</v>
      </c>
      <c r="I18" s="27">
        <f t="shared" si="4"/>
        <v>5</v>
      </c>
      <c r="J18" s="35">
        <f t="shared" si="8"/>
        <v>11865.099378344492</v>
      </c>
      <c r="K18" s="35">
        <f t="shared" si="9"/>
        <v>11924.830708014242</v>
      </c>
      <c r="L18" s="35">
        <f t="shared" si="10"/>
        <v>23789.930086358734</v>
      </c>
      <c r="M18" s="35">
        <f>$C$3-SUM($J$14:J18)</f>
        <v>942121.35726279498</v>
      </c>
    </row>
    <row r="19" spans="1:13" x14ac:dyDescent="0.25">
      <c r="A19" s="44">
        <v>42185</v>
      </c>
      <c r="B19" s="27">
        <v>6</v>
      </c>
      <c r="C19" s="35">
        <f t="shared" si="6"/>
        <v>16666.666666666668</v>
      </c>
      <c r="D19" s="35">
        <f t="shared" si="7"/>
        <v>11458.333333333334</v>
      </c>
      <c r="E19" s="35">
        <f t="shared" si="1"/>
        <v>28125</v>
      </c>
      <c r="F19" s="35">
        <f t="shared" si="2"/>
        <v>900000.00000000023</v>
      </c>
      <c r="H19" s="44">
        <f t="shared" si="3"/>
        <v>42185</v>
      </c>
      <c r="I19" s="27">
        <f t="shared" si="4"/>
        <v>6</v>
      </c>
      <c r="J19" s="35">
        <f t="shared" si="8"/>
        <v>12013.413120573799</v>
      </c>
      <c r="K19" s="35">
        <f t="shared" ref="K19:K73" si="11">IPMT($C$4/$C$5,I19,$C$5*$C$6,-$C$3)</f>
        <v>11776.516965784938</v>
      </c>
      <c r="L19" s="35">
        <f t="shared" ref="L19:L73" si="12">K19+J19</f>
        <v>23789.930086358738</v>
      </c>
      <c r="M19" s="35">
        <f>$C$3-SUM($J$14:J19)</f>
        <v>930107.94414222124</v>
      </c>
    </row>
    <row r="20" spans="1:13" x14ac:dyDescent="0.25">
      <c r="A20" s="44">
        <v>42216</v>
      </c>
      <c r="B20" s="27">
        <v>7</v>
      </c>
      <c r="C20" s="35">
        <f t="shared" si="6"/>
        <v>16666.666666666668</v>
      </c>
      <c r="D20" s="35">
        <f t="shared" si="7"/>
        <v>11250.000000000002</v>
      </c>
      <c r="E20" s="35">
        <f t="shared" si="1"/>
        <v>27916.666666666672</v>
      </c>
      <c r="F20" s="35">
        <f t="shared" si="2"/>
        <v>883333.3333333336</v>
      </c>
      <c r="H20" s="44">
        <f t="shared" si="3"/>
        <v>42216</v>
      </c>
      <c r="I20" s="27">
        <f t="shared" si="4"/>
        <v>7</v>
      </c>
      <c r="J20" s="35">
        <f t="shared" si="8"/>
        <v>12163.580784580969</v>
      </c>
      <c r="K20" s="35">
        <f t="shared" si="11"/>
        <v>11626.349301777762</v>
      </c>
      <c r="L20" s="35">
        <f t="shared" si="12"/>
        <v>23789.93008635873</v>
      </c>
      <c r="M20" s="35">
        <f>$C$3-SUM($J$14:J20)</f>
        <v>917944.36335764022</v>
      </c>
    </row>
    <row r="21" spans="1:13" x14ac:dyDescent="0.25">
      <c r="A21" s="44">
        <v>42247</v>
      </c>
      <c r="B21" s="27">
        <v>8</v>
      </c>
      <c r="C21" s="35">
        <f t="shared" si="6"/>
        <v>16666.666666666668</v>
      </c>
      <c r="D21" s="35">
        <f t="shared" si="7"/>
        <v>11041.66666666667</v>
      </c>
      <c r="E21" s="35">
        <f t="shared" si="1"/>
        <v>27708.333333333336</v>
      </c>
      <c r="F21" s="35">
        <f t="shared" si="2"/>
        <v>866666.66666666698</v>
      </c>
      <c r="H21" s="44">
        <f t="shared" si="3"/>
        <v>42247</v>
      </c>
      <c r="I21" s="27">
        <f t="shared" si="4"/>
        <v>8</v>
      </c>
      <c r="J21" s="35">
        <f t="shared" si="8"/>
        <v>12315.625544388233</v>
      </c>
      <c r="K21" s="35">
        <f t="shared" si="11"/>
        <v>11474.304541970501</v>
      </c>
      <c r="L21" s="35">
        <f t="shared" si="12"/>
        <v>23789.930086358734</v>
      </c>
      <c r="M21" s="35">
        <f>$C$3-SUM($J$14:J21)</f>
        <v>905628.73781325202</v>
      </c>
    </row>
    <row r="22" spans="1:13" x14ac:dyDescent="0.25">
      <c r="A22" s="44">
        <v>42277</v>
      </c>
      <c r="B22" s="27">
        <v>9</v>
      </c>
      <c r="C22" s="35">
        <f t="shared" si="6"/>
        <v>16666.666666666668</v>
      </c>
      <c r="D22" s="35">
        <f t="shared" si="7"/>
        <v>10833.333333333336</v>
      </c>
      <c r="E22" s="35">
        <f t="shared" si="1"/>
        <v>27500.000000000004</v>
      </c>
      <c r="F22" s="35">
        <f t="shared" si="2"/>
        <v>850000.00000000035</v>
      </c>
      <c r="H22" s="44">
        <f t="shared" si="3"/>
        <v>42277</v>
      </c>
      <c r="I22" s="27">
        <f t="shared" si="4"/>
        <v>9</v>
      </c>
      <c r="J22" s="35">
        <f t="shared" si="8"/>
        <v>12469.570863693085</v>
      </c>
      <c r="K22" s="35">
        <f t="shared" si="11"/>
        <v>11320.359222665651</v>
      </c>
      <c r="L22" s="35">
        <f t="shared" si="12"/>
        <v>23789.930086358734</v>
      </c>
      <c r="M22" s="35">
        <f>$C$3-SUM($J$14:J22)</f>
        <v>893159.16694955889</v>
      </c>
    </row>
    <row r="23" spans="1:13" x14ac:dyDescent="0.25">
      <c r="A23" s="44">
        <v>42308</v>
      </c>
      <c r="B23" s="27">
        <v>10</v>
      </c>
      <c r="C23" s="35">
        <f t="shared" si="6"/>
        <v>16666.666666666668</v>
      </c>
      <c r="D23" s="35">
        <f t="shared" si="7"/>
        <v>10625.000000000004</v>
      </c>
      <c r="E23" s="35">
        <f t="shared" si="1"/>
        <v>27291.666666666672</v>
      </c>
      <c r="F23" s="35">
        <f t="shared" si="2"/>
        <v>833333.33333333372</v>
      </c>
      <c r="H23" s="44">
        <f t="shared" si="3"/>
        <v>42308</v>
      </c>
      <c r="I23" s="27">
        <f t="shared" si="4"/>
        <v>10</v>
      </c>
      <c r="J23" s="35">
        <f t="shared" si="8"/>
        <v>12625.440499489247</v>
      </c>
      <c r="K23" s="35">
        <f t="shared" si="11"/>
        <v>11164.489586869486</v>
      </c>
      <c r="L23" s="35">
        <f t="shared" si="12"/>
        <v>23789.930086358734</v>
      </c>
      <c r="M23" s="35">
        <f>$C$3-SUM($J$14:J23)</f>
        <v>880533.72645006969</v>
      </c>
    </row>
    <row r="24" spans="1:13" x14ac:dyDescent="0.25">
      <c r="A24" s="44">
        <v>42338</v>
      </c>
      <c r="B24" s="27">
        <v>11</v>
      </c>
      <c r="C24" s="35">
        <f t="shared" si="6"/>
        <v>16666.666666666668</v>
      </c>
      <c r="D24" s="35">
        <f t="shared" si="7"/>
        <v>10416.666666666672</v>
      </c>
      <c r="E24" s="35">
        <f t="shared" si="1"/>
        <v>27083.333333333339</v>
      </c>
      <c r="F24" s="35">
        <f t="shared" si="2"/>
        <v>816666.66666666709</v>
      </c>
      <c r="H24" s="44">
        <f t="shared" si="3"/>
        <v>42338</v>
      </c>
      <c r="I24" s="27">
        <f t="shared" si="4"/>
        <v>11</v>
      </c>
      <c r="J24" s="35">
        <f t="shared" si="8"/>
        <v>12783.258505732865</v>
      </c>
      <c r="K24" s="35">
        <f t="shared" si="11"/>
        <v>11006.671580625871</v>
      </c>
      <c r="L24" s="35">
        <f t="shared" si="12"/>
        <v>23789.930086358734</v>
      </c>
      <c r="M24" s="35">
        <f>$C$3-SUM($J$14:J24)</f>
        <v>867750.46794433682</v>
      </c>
    </row>
    <row r="25" spans="1:13" x14ac:dyDescent="0.25">
      <c r="A25" s="44">
        <v>42369</v>
      </c>
      <c r="B25" s="27">
        <v>12</v>
      </c>
      <c r="C25" s="35">
        <f t="shared" si="6"/>
        <v>16666.666666666668</v>
      </c>
      <c r="D25" s="35">
        <f t="shared" si="7"/>
        <v>10208.333333333338</v>
      </c>
      <c r="E25" s="35">
        <f t="shared" si="1"/>
        <v>26875.000000000007</v>
      </c>
      <c r="F25" s="35">
        <f t="shared" si="2"/>
        <v>800000.00000000047</v>
      </c>
      <c r="H25" s="44">
        <f t="shared" si="3"/>
        <v>42369</v>
      </c>
      <c r="I25" s="27">
        <f t="shared" si="4"/>
        <v>12</v>
      </c>
      <c r="J25" s="35">
        <f t="shared" si="8"/>
        <v>12943.049237054523</v>
      </c>
      <c r="K25" s="35">
        <f t="shared" si="11"/>
        <v>10846.880849304209</v>
      </c>
      <c r="L25" s="35">
        <f t="shared" si="12"/>
        <v>23789.930086358734</v>
      </c>
      <c r="M25" s="35">
        <f>$C$3-SUM($J$14:J25)</f>
        <v>854807.41870728228</v>
      </c>
    </row>
    <row r="26" spans="1:13" x14ac:dyDescent="0.25">
      <c r="A26" s="44">
        <v>42400</v>
      </c>
      <c r="B26" s="27">
        <v>13</v>
      </c>
      <c r="C26" s="35">
        <f t="shared" si="6"/>
        <v>16666.666666666668</v>
      </c>
      <c r="D26" s="35">
        <f t="shared" si="7"/>
        <v>10000.000000000005</v>
      </c>
      <c r="E26" s="35">
        <f t="shared" ref="E26:E35" si="13">C26+D26</f>
        <v>26666.666666666672</v>
      </c>
      <c r="F26" s="35">
        <f t="shared" ref="F26:F35" si="14">F25-C26</f>
        <v>783333.33333333384</v>
      </c>
      <c r="H26" s="44">
        <f t="shared" si="3"/>
        <v>42400</v>
      </c>
      <c r="I26" s="27">
        <f t="shared" si="4"/>
        <v>13</v>
      </c>
      <c r="J26" s="35">
        <f t="shared" si="8"/>
        <v>13104.837352517707</v>
      </c>
      <c r="K26" s="35">
        <f t="shared" si="11"/>
        <v>10685.092733841029</v>
      </c>
      <c r="L26" s="35">
        <f t="shared" si="12"/>
        <v>23789.930086358734</v>
      </c>
      <c r="M26" s="35">
        <f>$C$3-SUM($J$14:J26)</f>
        <v>841702.58135476452</v>
      </c>
    </row>
    <row r="27" spans="1:13" x14ac:dyDescent="0.25">
      <c r="A27" s="44">
        <v>42429</v>
      </c>
      <c r="B27" s="27">
        <v>14</v>
      </c>
      <c r="C27" s="35">
        <f t="shared" si="6"/>
        <v>16666.666666666668</v>
      </c>
      <c r="D27" s="35">
        <f t="shared" si="7"/>
        <v>9791.6666666666715</v>
      </c>
      <c r="E27" s="35">
        <f t="shared" si="13"/>
        <v>26458.333333333339</v>
      </c>
      <c r="F27" s="35">
        <f t="shared" si="14"/>
        <v>766666.66666666721</v>
      </c>
      <c r="H27" s="44">
        <f t="shared" si="3"/>
        <v>42429</v>
      </c>
      <c r="I27" s="27">
        <f t="shared" si="4"/>
        <v>14</v>
      </c>
      <c r="J27" s="35">
        <f t="shared" si="8"/>
        <v>13268.647819424177</v>
      </c>
      <c r="K27" s="35">
        <f t="shared" si="11"/>
        <v>10521.282266934555</v>
      </c>
      <c r="L27" s="35">
        <f t="shared" si="12"/>
        <v>23789.930086358734</v>
      </c>
      <c r="M27" s="35">
        <f>$C$3-SUM($J$14:J27)</f>
        <v>828433.93353534047</v>
      </c>
    </row>
    <row r="28" spans="1:13" x14ac:dyDescent="0.25">
      <c r="A28" s="44">
        <v>42460</v>
      </c>
      <c r="B28" s="27">
        <v>15</v>
      </c>
      <c r="C28" s="35">
        <f t="shared" si="6"/>
        <v>16666.666666666668</v>
      </c>
      <c r="D28" s="35">
        <f t="shared" si="7"/>
        <v>9583.3333333333394</v>
      </c>
      <c r="E28" s="35">
        <f t="shared" si="13"/>
        <v>26250.000000000007</v>
      </c>
      <c r="F28" s="35">
        <f t="shared" si="14"/>
        <v>750000.00000000058</v>
      </c>
      <c r="H28" s="44">
        <f t="shared" si="3"/>
        <v>42460</v>
      </c>
      <c r="I28" s="27">
        <f t="shared" si="4"/>
        <v>15</v>
      </c>
      <c r="J28" s="35">
        <f t="shared" si="8"/>
        <v>13434.505917166978</v>
      </c>
      <c r="K28" s="35">
        <f t="shared" si="11"/>
        <v>10355.424169191752</v>
      </c>
      <c r="L28" s="35">
        <f t="shared" si="12"/>
        <v>23789.93008635873</v>
      </c>
      <c r="M28" s="35">
        <f>$C$3-SUM($J$14:J28)</f>
        <v>814999.42761817342</v>
      </c>
    </row>
    <row r="29" spans="1:13" x14ac:dyDescent="0.25">
      <c r="A29" s="44">
        <v>42490</v>
      </c>
      <c r="B29" s="27">
        <v>16</v>
      </c>
      <c r="C29" s="35">
        <f t="shared" si="6"/>
        <v>16666.666666666668</v>
      </c>
      <c r="D29" s="35">
        <f t="shared" si="7"/>
        <v>9375.0000000000073</v>
      </c>
      <c r="E29" s="35">
        <f t="shared" si="13"/>
        <v>26041.666666666675</v>
      </c>
      <c r="F29" s="35">
        <f t="shared" si="14"/>
        <v>733333.33333333395</v>
      </c>
      <c r="H29" s="44">
        <f t="shared" si="3"/>
        <v>42490</v>
      </c>
      <c r="I29" s="27">
        <f t="shared" si="4"/>
        <v>16</v>
      </c>
      <c r="J29" s="35">
        <f t="shared" si="8"/>
        <v>13602.437241131567</v>
      </c>
      <c r="K29" s="35">
        <f t="shared" si="11"/>
        <v>10187.492845227167</v>
      </c>
      <c r="L29" s="35">
        <f t="shared" si="12"/>
        <v>23789.930086358734</v>
      </c>
      <c r="M29" s="35">
        <f>$C$3-SUM($J$14:J29)</f>
        <v>801396.99037704186</v>
      </c>
    </row>
    <row r="30" spans="1:13" x14ac:dyDescent="0.25">
      <c r="A30" s="44">
        <v>42521</v>
      </c>
      <c r="B30" s="27">
        <v>17</v>
      </c>
      <c r="C30" s="35">
        <f t="shared" si="6"/>
        <v>16666.666666666668</v>
      </c>
      <c r="D30" s="35">
        <f t="shared" si="7"/>
        <v>9166.6666666666733</v>
      </c>
      <c r="E30" s="35">
        <f t="shared" si="13"/>
        <v>25833.333333333343</v>
      </c>
      <c r="F30" s="35">
        <f t="shared" si="14"/>
        <v>716666.66666666733</v>
      </c>
      <c r="H30" s="44">
        <f t="shared" si="3"/>
        <v>42521</v>
      </c>
      <c r="I30" s="27">
        <f t="shared" si="4"/>
        <v>17</v>
      </c>
      <c r="J30" s="35">
        <f t="shared" si="8"/>
        <v>13772.46770664571</v>
      </c>
      <c r="K30" s="35">
        <f t="shared" si="11"/>
        <v>10017.462379713021</v>
      </c>
      <c r="L30" s="35">
        <f t="shared" si="12"/>
        <v>23789.93008635873</v>
      </c>
      <c r="M30" s="35">
        <f>$C$3-SUM($J$14:J30)</f>
        <v>787624.52267039614</v>
      </c>
    </row>
    <row r="31" spans="1:13" x14ac:dyDescent="0.25">
      <c r="A31" s="44">
        <v>42551</v>
      </c>
      <c r="B31" s="27">
        <v>18</v>
      </c>
      <c r="C31" s="35">
        <f t="shared" si="6"/>
        <v>16666.666666666668</v>
      </c>
      <c r="D31" s="35">
        <f t="shared" si="7"/>
        <v>8958.3333333333412</v>
      </c>
      <c r="E31" s="35">
        <f t="shared" si="13"/>
        <v>25625.000000000007</v>
      </c>
      <c r="F31" s="35">
        <f t="shared" si="14"/>
        <v>700000.0000000007</v>
      </c>
      <c r="H31" s="44">
        <f t="shared" si="3"/>
        <v>42551</v>
      </c>
      <c r="I31" s="27">
        <f t="shared" si="4"/>
        <v>18</v>
      </c>
      <c r="J31" s="35">
        <f t="shared" si="8"/>
        <v>13944.623552978786</v>
      </c>
      <c r="K31" s="35">
        <f t="shared" si="11"/>
        <v>9845.3065333799514</v>
      </c>
      <c r="L31" s="35">
        <f t="shared" si="12"/>
        <v>23789.930086358738</v>
      </c>
      <c r="M31" s="35">
        <f>$C$3-SUM($J$14:J31)</f>
        <v>773679.8991174174</v>
      </c>
    </row>
    <row r="32" spans="1:13" x14ac:dyDescent="0.25">
      <c r="A32" s="44">
        <v>42582</v>
      </c>
      <c r="B32" s="27">
        <v>19</v>
      </c>
      <c r="C32" s="35">
        <f t="shared" si="6"/>
        <v>16666.666666666668</v>
      </c>
      <c r="D32" s="35">
        <f t="shared" si="7"/>
        <v>8750.0000000000073</v>
      </c>
      <c r="E32" s="35">
        <f t="shared" si="13"/>
        <v>25416.666666666675</v>
      </c>
      <c r="F32" s="35">
        <f t="shared" si="14"/>
        <v>683333.33333333407</v>
      </c>
      <c r="H32" s="44">
        <f t="shared" si="3"/>
        <v>42582</v>
      </c>
      <c r="I32" s="27">
        <f t="shared" si="4"/>
        <v>19</v>
      </c>
      <c r="J32" s="35">
        <f t="shared" si="8"/>
        <v>14118.931347391017</v>
      </c>
      <c r="K32" s="35">
        <f t="shared" si="11"/>
        <v>9670.9987389677135</v>
      </c>
      <c r="L32" s="35">
        <f t="shared" si="12"/>
        <v>23789.93008635873</v>
      </c>
      <c r="M32" s="35">
        <f>$C$3-SUM($J$14:J32)</f>
        <v>759560.9677700263</v>
      </c>
    </row>
    <row r="33" spans="1:13" x14ac:dyDescent="0.25">
      <c r="A33" s="44">
        <v>42613</v>
      </c>
      <c r="B33" s="27">
        <v>20</v>
      </c>
      <c r="C33" s="35">
        <f t="shared" si="6"/>
        <v>16666.666666666668</v>
      </c>
      <c r="D33" s="35">
        <f t="shared" si="7"/>
        <v>8541.6666666666752</v>
      </c>
      <c r="E33" s="35">
        <f t="shared" si="13"/>
        <v>25208.333333333343</v>
      </c>
      <c r="F33" s="35">
        <f t="shared" si="14"/>
        <v>666666.66666666744</v>
      </c>
      <c r="H33" s="44">
        <f t="shared" si="3"/>
        <v>42613</v>
      </c>
      <c r="I33" s="27">
        <f t="shared" si="4"/>
        <v>20</v>
      </c>
      <c r="J33" s="35">
        <f t="shared" si="8"/>
        <v>14295.417989233405</v>
      </c>
      <c r="K33" s="35">
        <f t="shared" si="11"/>
        <v>9494.5120971253273</v>
      </c>
      <c r="L33" s="35">
        <f t="shared" si="12"/>
        <v>23789.930086358734</v>
      </c>
      <c r="M33" s="35">
        <f>$C$3-SUM($J$14:J33)</f>
        <v>745265.54978079302</v>
      </c>
    </row>
    <row r="34" spans="1:13" x14ac:dyDescent="0.25">
      <c r="A34" s="44">
        <v>42643</v>
      </c>
      <c r="B34" s="27">
        <v>21</v>
      </c>
      <c r="C34" s="35">
        <f t="shared" si="6"/>
        <v>16666.666666666668</v>
      </c>
      <c r="D34" s="35">
        <f t="shared" si="7"/>
        <v>8333.333333333343</v>
      </c>
      <c r="E34" s="35">
        <f t="shared" si="13"/>
        <v>25000.000000000011</v>
      </c>
      <c r="F34" s="35">
        <f t="shared" si="14"/>
        <v>650000.00000000081</v>
      </c>
      <c r="H34" s="44">
        <f t="shared" si="3"/>
        <v>42643</v>
      </c>
      <c r="I34" s="27">
        <f t="shared" si="4"/>
        <v>21</v>
      </c>
      <c r="J34" s="35">
        <f t="shared" si="8"/>
        <v>14474.110714098824</v>
      </c>
      <c r="K34" s="35">
        <f t="shared" si="11"/>
        <v>9315.8193722599099</v>
      </c>
      <c r="L34" s="35">
        <f t="shared" si="12"/>
        <v>23789.930086358734</v>
      </c>
      <c r="M34" s="35">
        <f>$C$3-SUM($J$14:J34)</f>
        <v>730791.43906669412</v>
      </c>
    </row>
    <row r="35" spans="1:13" x14ac:dyDescent="0.25">
      <c r="A35" s="44">
        <v>42674</v>
      </c>
      <c r="B35" s="27">
        <v>22</v>
      </c>
      <c r="C35" s="35">
        <f t="shared" si="6"/>
        <v>16666.666666666668</v>
      </c>
      <c r="D35" s="35">
        <f t="shared" si="7"/>
        <v>8125.0000000000091</v>
      </c>
      <c r="E35" s="35">
        <f t="shared" si="13"/>
        <v>24791.666666666679</v>
      </c>
      <c r="F35" s="35">
        <f t="shared" si="14"/>
        <v>633333.33333333419</v>
      </c>
      <c r="H35" s="44">
        <f t="shared" si="3"/>
        <v>42674</v>
      </c>
      <c r="I35" s="27">
        <f t="shared" si="4"/>
        <v>22</v>
      </c>
      <c r="J35" s="35">
        <f t="shared" si="8"/>
        <v>14655.037098025057</v>
      </c>
      <c r="K35" s="35">
        <f t="shared" si="11"/>
        <v>9134.892988333675</v>
      </c>
      <c r="L35" s="35">
        <f t="shared" si="12"/>
        <v>23789.930086358734</v>
      </c>
      <c r="M35" s="35">
        <f>$C$3-SUM($J$14:J35)</f>
        <v>716136.40196866915</v>
      </c>
    </row>
    <row r="36" spans="1:13" x14ac:dyDescent="0.25">
      <c r="A36" s="44">
        <v>42704</v>
      </c>
      <c r="B36" s="27">
        <v>23</v>
      </c>
      <c r="C36" s="35">
        <f t="shared" si="6"/>
        <v>16666.666666666668</v>
      </c>
      <c r="D36" s="35">
        <f t="shared" si="7"/>
        <v>7916.666666666677</v>
      </c>
      <c r="E36" s="35">
        <f t="shared" ref="E36:E73" si="15">C36+D36</f>
        <v>24583.333333333343</v>
      </c>
      <c r="F36" s="35">
        <f t="shared" ref="F36:F73" si="16">F35-C36</f>
        <v>616666.66666666756</v>
      </c>
      <c r="H36" s="44">
        <f t="shared" si="3"/>
        <v>42704</v>
      </c>
      <c r="I36" s="27">
        <f t="shared" si="4"/>
        <v>23</v>
      </c>
      <c r="J36" s="35">
        <f t="shared" si="8"/>
        <v>14838.225061750372</v>
      </c>
      <c r="K36" s="35">
        <f t="shared" si="11"/>
        <v>8951.7050246083618</v>
      </c>
      <c r="L36" s="35">
        <f t="shared" si="12"/>
        <v>23789.930086358734</v>
      </c>
      <c r="M36" s="35">
        <f>$C$3-SUM($J$14:J36)</f>
        <v>701298.17690691864</v>
      </c>
    </row>
    <row r="37" spans="1:13" x14ac:dyDescent="0.25">
      <c r="A37" s="44">
        <v>42735</v>
      </c>
      <c r="B37" s="27">
        <v>24</v>
      </c>
      <c r="C37" s="35">
        <f t="shared" si="6"/>
        <v>16666.666666666668</v>
      </c>
      <c r="D37" s="35">
        <f t="shared" si="7"/>
        <v>7708.3333333333439</v>
      </c>
      <c r="E37" s="35">
        <f t="shared" si="15"/>
        <v>24375.000000000011</v>
      </c>
      <c r="F37" s="35">
        <f t="shared" si="16"/>
        <v>600000.00000000093</v>
      </c>
      <c r="H37" s="44">
        <f t="shared" si="3"/>
        <v>42735</v>
      </c>
      <c r="I37" s="27">
        <f t="shared" si="4"/>
        <v>24</v>
      </c>
      <c r="J37" s="35">
        <f t="shared" si="8"/>
        <v>15023.702875022251</v>
      </c>
      <c r="K37" s="35">
        <f t="shared" si="11"/>
        <v>8766.2272113364816</v>
      </c>
      <c r="L37" s="35">
        <f t="shared" si="12"/>
        <v>23789.930086358734</v>
      </c>
      <c r="M37" s="35">
        <f>$C$3-SUM($J$14:J37)</f>
        <v>686274.47403189645</v>
      </c>
    </row>
    <row r="38" spans="1:13" x14ac:dyDescent="0.25">
      <c r="A38" s="44">
        <v>42766</v>
      </c>
      <c r="B38" s="27">
        <v>25</v>
      </c>
      <c r="C38" s="35">
        <f t="shared" si="6"/>
        <v>16666.666666666668</v>
      </c>
      <c r="D38" s="35">
        <f t="shared" si="7"/>
        <v>7500.0000000000109</v>
      </c>
      <c r="E38" s="35">
        <f t="shared" si="15"/>
        <v>24166.666666666679</v>
      </c>
      <c r="F38" s="35">
        <f t="shared" si="16"/>
        <v>583333.3333333343</v>
      </c>
      <c r="H38" s="44">
        <f t="shared" si="3"/>
        <v>42766</v>
      </c>
      <c r="I38" s="27">
        <f t="shared" si="4"/>
        <v>25</v>
      </c>
      <c r="J38" s="35">
        <f t="shared" si="8"/>
        <v>15211.499160960031</v>
      </c>
      <c r="K38" s="35">
        <f t="shared" si="11"/>
        <v>8578.4309253987049</v>
      </c>
      <c r="L38" s="35">
        <f t="shared" si="12"/>
        <v>23789.930086358734</v>
      </c>
      <c r="M38" s="35">
        <f>$C$3-SUM($J$14:J38)</f>
        <v>671062.97487093648</v>
      </c>
    </row>
    <row r="39" spans="1:13" x14ac:dyDescent="0.25">
      <c r="A39" s="44">
        <v>42794</v>
      </c>
      <c r="B39" s="27">
        <v>26</v>
      </c>
      <c r="C39" s="35">
        <f t="shared" si="6"/>
        <v>16666.666666666668</v>
      </c>
      <c r="D39" s="35">
        <f t="shared" si="7"/>
        <v>7291.6666666666779</v>
      </c>
      <c r="E39" s="35">
        <f t="shared" si="15"/>
        <v>23958.333333333347</v>
      </c>
      <c r="F39" s="35">
        <f t="shared" si="16"/>
        <v>566666.66666666768</v>
      </c>
      <c r="H39" s="44">
        <f t="shared" si="3"/>
        <v>42794</v>
      </c>
      <c r="I39" s="27">
        <f t="shared" si="4"/>
        <v>26</v>
      </c>
      <c r="J39" s="35">
        <f t="shared" si="8"/>
        <v>15401.64290047203</v>
      </c>
      <c r="K39" s="35">
        <f t="shared" si="11"/>
        <v>8388.2871858867038</v>
      </c>
      <c r="L39" s="35">
        <f t="shared" si="12"/>
        <v>23789.930086358734</v>
      </c>
      <c r="M39" s="35">
        <f>$C$3-SUM($J$14:J39)</f>
        <v>655661.33197046444</v>
      </c>
    </row>
    <row r="40" spans="1:13" x14ac:dyDescent="0.25">
      <c r="A40" s="44">
        <v>42825</v>
      </c>
      <c r="B40" s="27">
        <v>27</v>
      </c>
      <c r="C40" s="35">
        <f t="shared" si="6"/>
        <v>16666.666666666668</v>
      </c>
      <c r="D40" s="35">
        <f t="shared" si="7"/>
        <v>7083.3333333333458</v>
      </c>
      <c r="E40" s="35">
        <f t="shared" si="15"/>
        <v>23750.000000000015</v>
      </c>
      <c r="F40" s="35">
        <f t="shared" si="16"/>
        <v>550000.00000000105</v>
      </c>
      <c r="H40" s="44">
        <f t="shared" si="3"/>
        <v>42825</v>
      </c>
      <c r="I40" s="27">
        <f t="shared" si="4"/>
        <v>27</v>
      </c>
      <c r="J40" s="35">
        <f t="shared" si="8"/>
        <v>15594.163436727929</v>
      </c>
      <c r="K40" s="35">
        <f t="shared" si="11"/>
        <v>8195.7666496308029</v>
      </c>
      <c r="L40" s="35">
        <f t="shared" si="12"/>
        <v>23789.930086358734</v>
      </c>
      <c r="M40" s="35">
        <f>$C$3-SUM($J$14:J40)</f>
        <v>640067.16853373637</v>
      </c>
    </row>
    <row r="41" spans="1:13" x14ac:dyDescent="0.25">
      <c r="A41" s="44">
        <v>42855</v>
      </c>
      <c r="B41" s="27">
        <v>28</v>
      </c>
      <c r="C41" s="35">
        <f t="shared" si="6"/>
        <v>16666.666666666668</v>
      </c>
      <c r="D41" s="35">
        <f t="shared" si="7"/>
        <v>6875.0000000000127</v>
      </c>
      <c r="E41" s="35">
        <f t="shared" si="15"/>
        <v>23541.666666666679</v>
      </c>
      <c r="F41" s="35">
        <f t="shared" si="16"/>
        <v>533333.33333333442</v>
      </c>
      <c r="H41" s="44">
        <f t="shared" si="3"/>
        <v>42855</v>
      </c>
      <c r="I41" s="27">
        <f t="shared" si="4"/>
        <v>28</v>
      </c>
      <c r="J41" s="35">
        <f t="shared" si="8"/>
        <v>15789.090479687027</v>
      </c>
      <c r="K41" s="35">
        <f t="shared" si="11"/>
        <v>8000.8396066717041</v>
      </c>
      <c r="L41" s="35">
        <f t="shared" si="12"/>
        <v>23789.93008635873</v>
      </c>
      <c r="M41" s="35">
        <f>$C$3-SUM($J$14:J41)</f>
        <v>624278.0780540494</v>
      </c>
    </row>
    <row r="42" spans="1:13" x14ac:dyDescent="0.25">
      <c r="A42" s="44">
        <v>42886</v>
      </c>
      <c r="B42" s="27">
        <v>29</v>
      </c>
      <c r="C42" s="35">
        <f t="shared" si="6"/>
        <v>16666.666666666668</v>
      </c>
      <c r="D42" s="35">
        <f t="shared" si="7"/>
        <v>6666.6666666666797</v>
      </c>
      <c r="E42" s="35">
        <f t="shared" si="15"/>
        <v>23333.333333333347</v>
      </c>
      <c r="F42" s="35">
        <f t="shared" si="16"/>
        <v>516666.66666666773</v>
      </c>
      <c r="H42" s="44">
        <f t="shared" si="3"/>
        <v>42886</v>
      </c>
      <c r="I42" s="27">
        <f t="shared" si="4"/>
        <v>29</v>
      </c>
      <c r="J42" s="35">
        <f t="shared" si="8"/>
        <v>15986.454110683115</v>
      </c>
      <c r="K42" s="35">
        <f t="shared" si="11"/>
        <v>7803.4759756756166</v>
      </c>
      <c r="L42" s="35">
        <f t="shared" si="12"/>
        <v>23789.93008635873</v>
      </c>
      <c r="M42" s="35">
        <f>$C$3-SUM($J$14:J42)</f>
        <v>608291.62394336634</v>
      </c>
    </row>
    <row r="43" spans="1:13" x14ac:dyDescent="0.25">
      <c r="A43" s="44">
        <v>42916</v>
      </c>
      <c r="B43" s="27">
        <v>30</v>
      </c>
      <c r="C43" s="35">
        <f t="shared" si="6"/>
        <v>16666.666666666668</v>
      </c>
      <c r="D43" s="35">
        <f t="shared" si="7"/>
        <v>6458.3333333333458</v>
      </c>
      <c r="E43" s="35">
        <f t="shared" si="15"/>
        <v>23125.000000000015</v>
      </c>
      <c r="F43" s="35">
        <f t="shared" si="16"/>
        <v>500000.00000000105</v>
      </c>
      <c r="H43" s="44">
        <f t="shared" si="3"/>
        <v>42916</v>
      </c>
      <c r="I43" s="27">
        <f t="shared" si="4"/>
        <v>30</v>
      </c>
      <c r="J43" s="35">
        <f t="shared" si="8"/>
        <v>16186.284787066656</v>
      </c>
      <c r="K43" s="35">
        <f t="shared" si="11"/>
        <v>7603.6452992920786</v>
      </c>
      <c r="L43" s="35">
        <f t="shared" si="12"/>
        <v>23789.930086358734</v>
      </c>
      <c r="M43" s="35">
        <f>$C$3-SUM($J$14:J43)</f>
        <v>592105.3391562996</v>
      </c>
    </row>
    <row r="44" spans="1:13" x14ac:dyDescent="0.25">
      <c r="A44" s="44">
        <v>42947</v>
      </c>
      <c r="B44" s="27">
        <v>31</v>
      </c>
      <c r="C44" s="35">
        <f t="shared" si="6"/>
        <v>16666.666666666668</v>
      </c>
      <c r="D44" s="35">
        <f t="shared" si="7"/>
        <v>6250.0000000000127</v>
      </c>
      <c r="E44" s="35">
        <f t="shared" si="15"/>
        <v>22916.666666666679</v>
      </c>
      <c r="F44" s="35">
        <f t="shared" si="16"/>
        <v>483333.33333333436</v>
      </c>
      <c r="H44" s="44">
        <f t="shared" si="3"/>
        <v>42947</v>
      </c>
      <c r="I44" s="27">
        <f t="shared" si="4"/>
        <v>31</v>
      </c>
      <c r="J44" s="35">
        <f t="shared" si="8"/>
        <v>16388.613346904989</v>
      </c>
      <c r="K44" s="35">
        <f t="shared" si="11"/>
        <v>7401.3167394537459</v>
      </c>
      <c r="L44" s="35">
        <f t="shared" si="12"/>
        <v>23789.930086358734</v>
      </c>
      <c r="M44" s="35">
        <f>$C$3-SUM($J$14:J44)</f>
        <v>575716.72580939461</v>
      </c>
    </row>
    <row r="45" spans="1:13" x14ac:dyDescent="0.25">
      <c r="A45" s="44">
        <v>42978</v>
      </c>
      <c r="B45" s="27">
        <v>32</v>
      </c>
      <c r="C45" s="35">
        <f t="shared" si="6"/>
        <v>16666.666666666668</v>
      </c>
      <c r="D45" s="35">
        <f t="shared" si="7"/>
        <v>6041.6666666666788</v>
      </c>
      <c r="E45" s="35">
        <f t="shared" si="15"/>
        <v>22708.333333333347</v>
      </c>
      <c r="F45" s="35">
        <f t="shared" si="16"/>
        <v>466666.66666666768</v>
      </c>
      <c r="H45" s="44">
        <f t="shared" si="3"/>
        <v>42978</v>
      </c>
      <c r="I45" s="27">
        <f t="shared" si="4"/>
        <v>32</v>
      </c>
      <c r="J45" s="35">
        <f t="shared" si="8"/>
        <v>16593.471013741299</v>
      </c>
      <c r="K45" s="35">
        <f t="shared" si="11"/>
        <v>7196.459072617432</v>
      </c>
      <c r="L45" s="35">
        <f t="shared" si="12"/>
        <v>23789.93008635873</v>
      </c>
      <c r="M45" s="35">
        <f>$C$3-SUM($J$14:J45)</f>
        <v>559123.2547956534</v>
      </c>
    </row>
    <row r="46" spans="1:13" x14ac:dyDescent="0.25">
      <c r="A46" s="44">
        <v>43008</v>
      </c>
      <c r="B46" s="27">
        <v>33</v>
      </c>
      <c r="C46" s="35">
        <f t="shared" si="6"/>
        <v>16666.666666666668</v>
      </c>
      <c r="D46" s="35">
        <f t="shared" si="7"/>
        <v>5833.3333333333458</v>
      </c>
      <c r="E46" s="35">
        <f t="shared" si="15"/>
        <v>22500.000000000015</v>
      </c>
      <c r="F46" s="35">
        <f t="shared" si="16"/>
        <v>450000.00000000099</v>
      </c>
      <c r="H46" s="44">
        <f t="shared" si="3"/>
        <v>43008</v>
      </c>
      <c r="I46" s="27">
        <f t="shared" si="4"/>
        <v>33</v>
      </c>
      <c r="J46" s="35">
        <f t="shared" si="8"/>
        <v>16800.889401413064</v>
      </c>
      <c r="K46" s="35">
        <f t="shared" si="11"/>
        <v>6989.0406849456667</v>
      </c>
      <c r="L46" s="35">
        <f t="shared" si="12"/>
        <v>23789.93008635873</v>
      </c>
      <c r="M46" s="35">
        <f>$C$3-SUM($J$14:J46)</f>
        <v>542322.36539424036</v>
      </c>
    </row>
    <row r="47" spans="1:13" x14ac:dyDescent="0.25">
      <c r="A47" s="44">
        <v>43039</v>
      </c>
      <c r="B47" s="27">
        <v>34</v>
      </c>
      <c r="C47" s="35">
        <f t="shared" si="6"/>
        <v>16666.666666666668</v>
      </c>
      <c r="D47" s="35">
        <f t="shared" si="7"/>
        <v>5625.0000000000118</v>
      </c>
      <c r="E47" s="35">
        <f t="shared" si="15"/>
        <v>22291.666666666679</v>
      </c>
      <c r="F47" s="35">
        <f t="shared" si="16"/>
        <v>433333.3333333343</v>
      </c>
      <c r="H47" s="44">
        <f t="shared" si="3"/>
        <v>43039</v>
      </c>
      <c r="I47" s="27">
        <f t="shared" si="4"/>
        <v>34</v>
      </c>
      <c r="J47" s="35">
        <f t="shared" si="8"/>
        <v>17010.900518930728</v>
      </c>
      <c r="K47" s="35">
        <f t="shared" si="11"/>
        <v>6779.0295674280023</v>
      </c>
      <c r="L47" s="35">
        <f t="shared" si="12"/>
        <v>23789.93008635873</v>
      </c>
      <c r="M47" s="35">
        <f>$C$3-SUM($J$14:J47)</f>
        <v>525311.46487530961</v>
      </c>
    </row>
    <row r="48" spans="1:13" x14ac:dyDescent="0.25">
      <c r="A48" s="44">
        <v>43069</v>
      </c>
      <c r="B48" s="27">
        <v>35</v>
      </c>
      <c r="C48" s="35">
        <f t="shared" si="6"/>
        <v>16666.666666666668</v>
      </c>
      <c r="D48" s="35">
        <f t="shared" si="7"/>
        <v>5416.6666666666788</v>
      </c>
      <c r="E48" s="35">
        <f t="shared" si="15"/>
        <v>22083.333333333347</v>
      </c>
      <c r="F48" s="35">
        <f t="shared" si="16"/>
        <v>416666.66666666762</v>
      </c>
      <c r="H48" s="44">
        <f t="shared" si="3"/>
        <v>43069</v>
      </c>
      <c r="I48" s="27">
        <f t="shared" si="4"/>
        <v>35</v>
      </c>
      <c r="J48" s="35">
        <f t="shared" si="8"/>
        <v>17223.536775417364</v>
      </c>
      <c r="K48" s="35">
        <f t="shared" si="11"/>
        <v>6566.3933109413692</v>
      </c>
      <c r="L48" s="35">
        <f t="shared" si="12"/>
        <v>23789.930086358734</v>
      </c>
      <c r="M48" s="35">
        <f>$C$3-SUM($J$14:J48)</f>
        <v>508087.92809989222</v>
      </c>
    </row>
    <row r="49" spans="1:13" x14ac:dyDescent="0.25">
      <c r="A49" s="44">
        <v>43100</v>
      </c>
      <c r="B49" s="27">
        <v>36</v>
      </c>
      <c r="C49" s="35">
        <f t="shared" si="6"/>
        <v>16666.666666666668</v>
      </c>
      <c r="D49" s="35">
        <f t="shared" si="7"/>
        <v>5208.3333333333449</v>
      </c>
      <c r="E49" s="35">
        <f t="shared" si="15"/>
        <v>21875.000000000015</v>
      </c>
      <c r="F49" s="35">
        <f t="shared" si="16"/>
        <v>400000.00000000093</v>
      </c>
      <c r="H49" s="44">
        <f t="shared" si="3"/>
        <v>43100</v>
      </c>
      <c r="I49" s="27">
        <f t="shared" si="4"/>
        <v>36</v>
      </c>
      <c r="J49" s="35">
        <f t="shared" si="8"/>
        <v>17438.830985110078</v>
      </c>
      <c r="K49" s="35">
        <f t="shared" si="11"/>
        <v>6351.0991012486538</v>
      </c>
      <c r="L49" s="35">
        <f t="shared" si="12"/>
        <v>23789.930086358734</v>
      </c>
      <c r="M49" s="35">
        <f>$C$3-SUM($J$14:J49)</f>
        <v>490649.09711478214</v>
      </c>
    </row>
    <row r="50" spans="1:13" x14ac:dyDescent="0.25">
      <c r="A50" s="44">
        <v>43131</v>
      </c>
      <c r="B50" s="27">
        <v>37</v>
      </c>
      <c r="C50" s="35">
        <f t="shared" si="6"/>
        <v>16666.666666666668</v>
      </c>
      <c r="D50" s="35">
        <f t="shared" si="7"/>
        <v>5000.0000000000109</v>
      </c>
      <c r="E50" s="35">
        <f t="shared" si="15"/>
        <v>21666.666666666679</v>
      </c>
      <c r="F50" s="35">
        <f t="shared" si="16"/>
        <v>383333.33333333425</v>
      </c>
      <c r="H50" s="44">
        <f t="shared" si="3"/>
        <v>43131</v>
      </c>
      <c r="I50" s="27">
        <f t="shared" si="4"/>
        <v>37</v>
      </c>
      <c r="J50" s="35">
        <f t="shared" si="8"/>
        <v>17656.816372423957</v>
      </c>
      <c r="K50" s="35">
        <f t="shared" si="11"/>
        <v>6133.1137139347766</v>
      </c>
      <c r="L50" s="35">
        <f t="shared" si="12"/>
        <v>23789.930086358734</v>
      </c>
      <c r="M50" s="35">
        <f>$C$3-SUM($J$14:J50)</f>
        <v>472992.28074235818</v>
      </c>
    </row>
    <row r="51" spans="1:13" x14ac:dyDescent="0.25">
      <c r="A51" s="44">
        <v>43159</v>
      </c>
      <c r="B51" s="27">
        <v>38</v>
      </c>
      <c r="C51" s="35">
        <f t="shared" si="6"/>
        <v>16666.666666666668</v>
      </c>
      <c r="D51" s="35">
        <f t="shared" si="7"/>
        <v>4791.6666666666779</v>
      </c>
      <c r="E51" s="35">
        <f t="shared" si="15"/>
        <v>21458.333333333347</v>
      </c>
      <c r="F51" s="35">
        <f t="shared" si="16"/>
        <v>366666.66666666756</v>
      </c>
      <c r="H51" s="44">
        <f t="shared" si="3"/>
        <v>43159</v>
      </c>
      <c r="I51" s="27">
        <f t="shared" si="4"/>
        <v>38</v>
      </c>
      <c r="J51" s="35">
        <f t="shared" si="8"/>
        <v>17877.526577079258</v>
      </c>
      <c r="K51" s="35">
        <f t="shared" si="11"/>
        <v>5912.4035092794757</v>
      </c>
      <c r="L51" s="35">
        <f t="shared" si="12"/>
        <v>23789.930086358734</v>
      </c>
      <c r="M51" s="35">
        <f>$C$3-SUM($J$14:J51)</f>
        <v>455114.75416527898</v>
      </c>
    </row>
    <row r="52" spans="1:13" x14ac:dyDescent="0.25">
      <c r="A52" s="44">
        <v>43190</v>
      </c>
      <c r="B52" s="27">
        <v>39</v>
      </c>
      <c r="C52" s="35">
        <f t="shared" si="6"/>
        <v>16666.666666666668</v>
      </c>
      <c r="D52" s="35">
        <f t="shared" si="7"/>
        <v>4583.3333333333439</v>
      </c>
      <c r="E52" s="35">
        <f t="shared" si="15"/>
        <v>21250.000000000011</v>
      </c>
      <c r="F52" s="35">
        <f t="shared" si="16"/>
        <v>350000.00000000087</v>
      </c>
      <c r="H52" s="44">
        <f t="shared" si="3"/>
        <v>43190</v>
      </c>
      <c r="I52" s="27">
        <f t="shared" si="4"/>
        <v>39</v>
      </c>
      <c r="J52" s="35">
        <f t="shared" si="8"/>
        <v>18100.995659292748</v>
      </c>
      <c r="K52" s="35">
        <f t="shared" si="11"/>
        <v>5688.9344270659858</v>
      </c>
      <c r="L52" s="35">
        <f t="shared" si="12"/>
        <v>23789.930086358734</v>
      </c>
      <c r="M52" s="35">
        <f>$C$3-SUM($J$14:J52)</f>
        <v>437013.75850598619</v>
      </c>
    </row>
    <row r="53" spans="1:13" x14ac:dyDescent="0.25">
      <c r="A53" s="44">
        <v>43220</v>
      </c>
      <c r="B53" s="27">
        <v>40</v>
      </c>
      <c r="C53" s="35">
        <f t="shared" si="6"/>
        <v>16666.666666666668</v>
      </c>
      <c r="D53" s="35">
        <f t="shared" si="7"/>
        <v>4375.0000000000109</v>
      </c>
      <c r="E53" s="35">
        <f t="shared" si="15"/>
        <v>21041.666666666679</v>
      </c>
      <c r="F53" s="35">
        <f t="shared" si="16"/>
        <v>333333.33333333419</v>
      </c>
      <c r="H53" s="44">
        <f t="shared" si="3"/>
        <v>43220</v>
      </c>
      <c r="I53" s="27">
        <f t="shared" si="4"/>
        <v>40</v>
      </c>
      <c r="J53" s="35">
        <f t="shared" si="8"/>
        <v>18327.258105033907</v>
      </c>
      <c r="K53" s="35">
        <f t="shared" si="11"/>
        <v>5462.6719813248274</v>
      </c>
      <c r="L53" s="35">
        <f t="shared" si="12"/>
        <v>23789.930086358734</v>
      </c>
      <c r="M53" s="35">
        <f>$C$3-SUM($J$14:J53)</f>
        <v>418686.5004009523</v>
      </c>
    </row>
    <row r="54" spans="1:13" x14ac:dyDescent="0.25">
      <c r="A54" s="44">
        <v>43251</v>
      </c>
      <c r="B54" s="27">
        <v>41</v>
      </c>
      <c r="C54" s="35">
        <f t="shared" si="6"/>
        <v>16666.666666666668</v>
      </c>
      <c r="D54" s="35">
        <f t="shared" si="7"/>
        <v>4166.666666666677</v>
      </c>
      <c r="E54" s="35">
        <f t="shared" si="15"/>
        <v>20833.333333333343</v>
      </c>
      <c r="F54" s="35">
        <f t="shared" si="16"/>
        <v>316666.6666666675</v>
      </c>
      <c r="H54" s="44">
        <f t="shared" si="3"/>
        <v>43251</v>
      </c>
      <c r="I54" s="27">
        <f t="shared" si="4"/>
        <v>41</v>
      </c>
      <c r="J54" s="35">
        <f t="shared" si="8"/>
        <v>18556.34883134683</v>
      </c>
      <c r="K54" s="35">
        <f t="shared" si="11"/>
        <v>5233.5812550119026</v>
      </c>
      <c r="L54" s="35">
        <f t="shared" si="12"/>
        <v>23789.930086358734</v>
      </c>
      <c r="M54" s="35">
        <f>$C$3-SUM($J$14:J54)</f>
        <v>400130.15156960546</v>
      </c>
    </row>
    <row r="55" spans="1:13" x14ac:dyDescent="0.25">
      <c r="A55" s="44">
        <v>43281</v>
      </c>
      <c r="B55" s="27">
        <v>42</v>
      </c>
      <c r="C55" s="35">
        <f t="shared" si="6"/>
        <v>16666.666666666668</v>
      </c>
      <c r="D55" s="35">
        <f t="shared" si="7"/>
        <v>3958.3333333333435</v>
      </c>
      <c r="E55" s="35">
        <f t="shared" si="15"/>
        <v>20625.000000000011</v>
      </c>
      <c r="F55" s="35">
        <f t="shared" si="16"/>
        <v>300000.00000000081</v>
      </c>
      <c r="H55" s="44">
        <f t="shared" si="3"/>
        <v>43281</v>
      </c>
      <c r="I55" s="27">
        <f t="shared" si="4"/>
        <v>42</v>
      </c>
      <c r="J55" s="35">
        <f t="shared" si="8"/>
        <v>18788.303191738665</v>
      </c>
      <c r="K55" s="35">
        <f t="shared" si="11"/>
        <v>5001.626894620068</v>
      </c>
      <c r="L55" s="35">
        <f t="shared" si="12"/>
        <v>23789.930086358734</v>
      </c>
      <c r="M55" s="35">
        <f>$C$3-SUM($J$14:J55)</f>
        <v>381341.84837786679</v>
      </c>
    </row>
    <row r="56" spans="1:13" x14ac:dyDescent="0.25">
      <c r="A56" s="44">
        <v>43312</v>
      </c>
      <c r="B56" s="27">
        <v>43</v>
      </c>
      <c r="C56" s="35">
        <f t="shared" si="6"/>
        <v>16666.666666666668</v>
      </c>
      <c r="D56" s="35">
        <f t="shared" si="7"/>
        <v>3750.00000000001</v>
      </c>
      <c r="E56" s="35">
        <f t="shared" si="15"/>
        <v>20416.666666666679</v>
      </c>
      <c r="F56" s="35">
        <f t="shared" si="16"/>
        <v>283333.33333333413</v>
      </c>
      <c r="H56" s="44">
        <f t="shared" si="3"/>
        <v>43312</v>
      </c>
      <c r="I56" s="27">
        <f t="shared" si="4"/>
        <v>43</v>
      </c>
      <c r="J56" s="35">
        <f t="shared" si="8"/>
        <v>19023.156981635402</v>
      </c>
      <c r="K56" s="35">
        <f t="shared" si="11"/>
        <v>4766.7731047233347</v>
      </c>
      <c r="L56" s="35">
        <f t="shared" si="12"/>
        <v>23789.930086358738</v>
      </c>
      <c r="M56" s="35">
        <f>$C$3-SUM($J$14:J56)</f>
        <v>362318.69139623141</v>
      </c>
    </row>
    <row r="57" spans="1:13" x14ac:dyDescent="0.25">
      <c r="A57" s="44">
        <v>43343</v>
      </c>
      <c r="B57" s="27">
        <v>44</v>
      </c>
      <c r="C57" s="35">
        <f t="shared" si="6"/>
        <v>16666.666666666668</v>
      </c>
      <c r="D57" s="35">
        <f t="shared" si="7"/>
        <v>3541.6666666666765</v>
      </c>
      <c r="E57" s="35">
        <f t="shared" si="15"/>
        <v>20208.333333333343</v>
      </c>
      <c r="F57" s="35">
        <f t="shared" si="16"/>
        <v>266666.66666666744</v>
      </c>
      <c r="H57" s="44">
        <f t="shared" si="3"/>
        <v>43343</v>
      </c>
      <c r="I57" s="27">
        <f t="shared" si="4"/>
        <v>44</v>
      </c>
      <c r="J57" s="35">
        <f t="shared" si="8"/>
        <v>19260.946443905839</v>
      </c>
      <c r="K57" s="35">
        <f t="shared" si="11"/>
        <v>4528.9836424528921</v>
      </c>
      <c r="L57" s="35">
        <f t="shared" si="12"/>
        <v>23789.93008635873</v>
      </c>
      <c r="M57" s="35">
        <f>$C$3-SUM($J$14:J57)</f>
        <v>343057.74495232559</v>
      </c>
    </row>
    <row r="58" spans="1:13" x14ac:dyDescent="0.25">
      <c r="A58" s="44">
        <v>43373</v>
      </c>
      <c r="B58" s="27">
        <v>45</v>
      </c>
      <c r="C58" s="35">
        <f t="shared" si="6"/>
        <v>16666.666666666668</v>
      </c>
      <c r="D58" s="35">
        <f t="shared" si="7"/>
        <v>3333.3333333333426</v>
      </c>
      <c r="E58" s="35">
        <f t="shared" si="15"/>
        <v>20000.000000000011</v>
      </c>
      <c r="F58" s="35">
        <f t="shared" si="16"/>
        <v>250000.00000000079</v>
      </c>
      <c r="H58" s="44">
        <f t="shared" si="3"/>
        <v>43373</v>
      </c>
      <c r="I58" s="27">
        <f t="shared" si="4"/>
        <v>45</v>
      </c>
      <c r="J58" s="35">
        <f t="shared" si="8"/>
        <v>19501.708274454664</v>
      </c>
      <c r="K58" s="35">
        <f t="shared" si="11"/>
        <v>4288.2218119040699</v>
      </c>
      <c r="L58" s="35">
        <f t="shared" si="12"/>
        <v>23789.930086358734</v>
      </c>
      <c r="M58" s="35">
        <f>$C$3-SUM($J$14:J58)</f>
        <v>323556.0366778709</v>
      </c>
    </row>
    <row r="59" spans="1:13" x14ac:dyDescent="0.25">
      <c r="A59" s="44">
        <v>43404</v>
      </c>
      <c r="B59" s="27">
        <v>46</v>
      </c>
      <c r="C59" s="35">
        <f t="shared" si="6"/>
        <v>16666.666666666668</v>
      </c>
      <c r="D59" s="35">
        <f t="shared" si="7"/>
        <v>3125.0000000000095</v>
      </c>
      <c r="E59" s="35">
        <f t="shared" si="15"/>
        <v>19791.666666666679</v>
      </c>
      <c r="F59" s="35">
        <f t="shared" si="16"/>
        <v>233333.33333333413</v>
      </c>
      <c r="H59" s="44">
        <f t="shared" si="3"/>
        <v>43404</v>
      </c>
      <c r="I59" s="27">
        <f t="shared" si="4"/>
        <v>46</v>
      </c>
      <c r="J59" s="35">
        <f t="shared" si="8"/>
        <v>19745.479627885346</v>
      </c>
      <c r="K59" s="35">
        <f t="shared" si="11"/>
        <v>4044.4504584733859</v>
      </c>
      <c r="L59" s="35">
        <f t="shared" si="12"/>
        <v>23789.930086358734</v>
      </c>
      <c r="M59" s="35">
        <f>$C$3-SUM($J$14:J59)</f>
        <v>303810.55704998551</v>
      </c>
    </row>
    <row r="60" spans="1:13" x14ac:dyDescent="0.25">
      <c r="A60" s="44">
        <v>43434</v>
      </c>
      <c r="B60" s="27">
        <v>47</v>
      </c>
      <c r="C60" s="35">
        <f t="shared" si="6"/>
        <v>16666.666666666668</v>
      </c>
      <c r="D60" s="35">
        <f t="shared" si="7"/>
        <v>2916.6666666666765</v>
      </c>
      <c r="E60" s="35">
        <f t="shared" si="15"/>
        <v>19583.333333333343</v>
      </c>
      <c r="F60" s="35">
        <f t="shared" si="16"/>
        <v>216666.66666666747</v>
      </c>
      <c r="H60" s="44">
        <f t="shared" si="3"/>
        <v>43434</v>
      </c>
      <c r="I60" s="27">
        <f t="shared" si="4"/>
        <v>47</v>
      </c>
      <c r="J60" s="35">
        <f t="shared" si="8"/>
        <v>19992.298123233915</v>
      </c>
      <c r="K60" s="35">
        <f t="shared" si="11"/>
        <v>3797.6319631248193</v>
      </c>
      <c r="L60" s="35">
        <f t="shared" si="12"/>
        <v>23789.930086358734</v>
      </c>
      <c r="M60" s="35">
        <f>$C$3-SUM($J$14:J60)</f>
        <v>283818.25892675156</v>
      </c>
    </row>
    <row r="61" spans="1:13" x14ac:dyDescent="0.25">
      <c r="A61" s="44">
        <v>43465</v>
      </c>
      <c r="B61" s="27">
        <v>48</v>
      </c>
      <c r="C61" s="35">
        <f t="shared" si="6"/>
        <v>16666.666666666668</v>
      </c>
      <c r="D61" s="35">
        <f t="shared" si="7"/>
        <v>2708.333333333343</v>
      </c>
      <c r="E61" s="35">
        <f t="shared" si="15"/>
        <v>19375.000000000011</v>
      </c>
      <c r="F61" s="35">
        <f t="shared" si="16"/>
        <v>200000.00000000081</v>
      </c>
      <c r="H61" s="44">
        <f t="shared" si="3"/>
        <v>43465</v>
      </c>
      <c r="I61" s="27">
        <f t="shared" si="4"/>
        <v>48</v>
      </c>
      <c r="J61" s="35">
        <f t="shared" si="8"/>
        <v>20242.201849774337</v>
      </c>
      <c r="K61" s="35">
        <f t="shared" si="11"/>
        <v>3547.7282365843957</v>
      </c>
      <c r="L61" s="35">
        <f t="shared" si="12"/>
        <v>23789.930086358734</v>
      </c>
      <c r="M61" s="35">
        <f>$C$3-SUM($J$14:J61)</f>
        <v>263576.05707697722</v>
      </c>
    </row>
    <row r="62" spans="1:13" x14ac:dyDescent="0.25">
      <c r="A62" s="44">
        <v>43496</v>
      </c>
      <c r="B62" s="27">
        <v>49</v>
      </c>
      <c r="C62" s="35">
        <f t="shared" si="6"/>
        <v>16666.666666666668</v>
      </c>
      <c r="D62" s="35">
        <f t="shared" si="7"/>
        <v>2500.00000000001</v>
      </c>
      <c r="E62" s="35">
        <f t="shared" si="15"/>
        <v>19166.666666666679</v>
      </c>
      <c r="F62" s="35">
        <f t="shared" si="16"/>
        <v>183333.33333333416</v>
      </c>
      <c r="H62" s="44">
        <f t="shared" si="3"/>
        <v>43496</v>
      </c>
      <c r="I62" s="27">
        <f t="shared" si="4"/>
        <v>49</v>
      </c>
      <c r="J62" s="35">
        <f t="shared" si="8"/>
        <v>20495.229372896516</v>
      </c>
      <c r="K62" s="35">
        <f t="shared" si="11"/>
        <v>3294.7007134622163</v>
      </c>
      <c r="L62" s="35">
        <f t="shared" si="12"/>
        <v>23789.930086358734</v>
      </c>
      <c r="M62" s="35">
        <f>$C$3-SUM($J$14:J62)</f>
        <v>243080.82770408073</v>
      </c>
    </row>
    <row r="63" spans="1:13" x14ac:dyDescent="0.25">
      <c r="A63" s="44">
        <v>43524</v>
      </c>
      <c r="B63" s="27">
        <v>50</v>
      </c>
      <c r="C63" s="35">
        <f t="shared" si="6"/>
        <v>16666.666666666668</v>
      </c>
      <c r="D63" s="35">
        <f t="shared" si="7"/>
        <v>2291.666666666677</v>
      </c>
      <c r="E63" s="35">
        <f t="shared" si="15"/>
        <v>18958.333333333343</v>
      </c>
      <c r="F63" s="35">
        <f t="shared" si="16"/>
        <v>166666.6666666675</v>
      </c>
      <c r="H63" s="44">
        <f t="shared" si="3"/>
        <v>43524</v>
      </c>
      <c r="I63" s="27">
        <f t="shared" si="4"/>
        <v>50</v>
      </c>
      <c r="J63" s="35">
        <f t="shared" si="8"/>
        <v>20751.419740057725</v>
      </c>
      <c r="K63" s="35">
        <f t="shared" si="11"/>
        <v>3038.51034630101</v>
      </c>
      <c r="L63" s="35">
        <f t="shared" si="12"/>
        <v>23789.930086358734</v>
      </c>
      <c r="M63" s="35">
        <f>$C$3-SUM($J$14:J63)</f>
        <v>222329.40796402306</v>
      </c>
    </row>
    <row r="64" spans="1:13" x14ac:dyDescent="0.25">
      <c r="A64" s="44">
        <v>43555</v>
      </c>
      <c r="B64" s="27">
        <v>51</v>
      </c>
      <c r="C64" s="35">
        <f t="shared" si="6"/>
        <v>16666.666666666668</v>
      </c>
      <c r="D64" s="35">
        <f t="shared" si="7"/>
        <v>2083.3333333333435</v>
      </c>
      <c r="E64" s="35">
        <f t="shared" si="15"/>
        <v>18750.000000000011</v>
      </c>
      <c r="F64" s="35">
        <f t="shared" si="16"/>
        <v>150000.00000000084</v>
      </c>
      <c r="H64" s="44">
        <f t="shared" si="3"/>
        <v>43555</v>
      </c>
      <c r="I64" s="27">
        <f t="shared" si="4"/>
        <v>51</v>
      </c>
      <c r="J64" s="35">
        <f t="shared" si="8"/>
        <v>21010.812486808445</v>
      </c>
      <c r="K64" s="35">
        <f t="shared" si="11"/>
        <v>2779.1175995502881</v>
      </c>
      <c r="L64" s="35">
        <f t="shared" si="12"/>
        <v>23789.930086358734</v>
      </c>
      <c r="M64" s="35">
        <f>$C$3-SUM($J$14:J64)</f>
        <v>201318.59547721467</v>
      </c>
    </row>
    <row r="65" spans="1:13" x14ac:dyDescent="0.25">
      <c r="A65" s="44">
        <v>43585</v>
      </c>
      <c r="B65" s="27">
        <v>52</v>
      </c>
      <c r="C65" s="35">
        <f t="shared" si="6"/>
        <v>16666.666666666668</v>
      </c>
      <c r="D65" s="35">
        <f t="shared" si="7"/>
        <v>1875.0000000000105</v>
      </c>
      <c r="E65" s="35">
        <f t="shared" si="15"/>
        <v>18541.666666666679</v>
      </c>
      <c r="F65" s="35">
        <f t="shared" si="16"/>
        <v>133333.33333333419</v>
      </c>
      <c r="H65" s="44">
        <f t="shared" si="3"/>
        <v>43585</v>
      </c>
      <c r="I65" s="27">
        <f t="shared" si="4"/>
        <v>52</v>
      </c>
      <c r="J65" s="35">
        <f t="shared" si="8"/>
        <v>21273.447642893552</v>
      </c>
      <c r="K65" s="35">
        <f t="shared" si="11"/>
        <v>2516.4824434651828</v>
      </c>
      <c r="L65" s="35">
        <f t="shared" si="12"/>
        <v>23789.930086358734</v>
      </c>
      <c r="M65" s="35">
        <f>$C$3-SUM($J$14:J65)</f>
        <v>180045.14783432113</v>
      </c>
    </row>
    <row r="66" spans="1:13" x14ac:dyDescent="0.25">
      <c r="A66" s="44">
        <v>43616</v>
      </c>
      <c r="B66" s="27">
        <v>53</v>
      </c>
      <c r="C66" s="35">
        <f t="shared" si="6"/>
        <v>16666.666666666668</v>
      </c>
      <c r="D66" s="35">
        <f t="shared" si="7"/>
        <v>1666.6666666666772</v>
      </c>
      <c r="E66" s="35">
        <f t="shared" si="15"/>
        <v>18333.333333333347</v>
      </c>
      <c r="F66" s="35">
        <f t="shared" si="16"/>
        <v>116666.66666666752</v>
      </c>
      <c r="H66" s="44">
        <f t="shared" si="3"/>
        <v>43616</v>
      </c>
      <c r="I66" s="27">
        <f t="shared" si="4"/>
        <v>53</v>
      </c>
      <c r="J66" s="35">
        <f t="shared" si="8"/>
        <v>21539.365738429722</v>
      </c>
      <c r="K66" s="35">
        <f t="shared" si="11"/>
        <v>2250.5643479290138</v>
      </c>
      <c r="L66" s="35">
        <f t="shared" si="12"/>
        <v>23789.930086358734</v>
      </c>
      <c r="M66" s="35">
        <f>$C$3-SUM($J$14:J66)</f>
        <v>158505.78209589142</v>
      </c>
    </row>
    <row r="67" spans="1:13" x14ac:dyDescent="0.25">
      <c r="A67" s="44">
        <v>43646</v>
      </c>
      <c r="B67" s="27">
        <v>54</v>
      </c>
      <c r="C67" s="35">
        <f t="shared" si="6"/>
        <v>16666.666666666668</v>
      </c>
      <c r="D67" s="35">
        <f t="shared" si="7"/>
        <v>1458.3333333333437</v>
      </c>
      <c r="E67" s="35">
        <f t="shared" si="15"/>
        <v>18125.000000000011</v>
      </c>
      <c r="F67" s="35">
        <f t="shared" si="16"/>
        <v>100000.00000000084</v>
      </c>
      <c r="H67" s="44">
        <f t="shared" si="3"/>
        <v>43646</v>
      </c>
      <c r="I67" s="27">
        <f t="shared" si="4"/>
        <v>54</v>
      </c>
      <c r="J67" s="35">
        <f t="shared" si="8"/>
        <v>21808.607810160094</v>
      </c>
      <c r="K67" s="35">
        <f t="shared" si="11"/>
        <v>1981.3222761986422</v>
      </c>
      <c r="L67" s="35">
        <f t="shared" si="12"/>
        <v>23789.930086358738</v>
      </c>
      <c r="M67" s="35">
        <f>$C$3-SUM($J$14:J67)</f>
        <v>136697.17428573128</v>
      </c>
    </row>
    <row r="68" spans="1:13" x14ac:dyDescent="0.25">
      <c r="A68" s="44">
        <v>43677</v>
      </c>
      <c r="B68" s="27">
        <v>55</v>
      </c>
      <c r="C68" s="35">
        <f t="shared" si="6"/>
        <v>16666.666666666668</v>
      </c>
      <c r="D68" s="35">
        <f t="shared" si="7"/>
        <v>1250.0000000000105</v>
      </c>
      <c r="E68" s="35">
        <f t="shared" si="15"/>
        <v>17916.666666666679</v>
      </c>
      <c r="F68" s="35">
        <f t="shared" si="16"/>
        <v>83333.333333334172</v>
      </c>
      <c r="H68" s="44">
        <f t="shared" si="3"/>
        <v>43677</v>
      </c>
      <c r="I68" s="27">
        <f t="shared" si="4"/>
        <v>55</v>
      </c>
      <c r="J68" s="35">
        <f t="shared" si="8"/>
        <v>22081.215407787091</v>
      </c>
      <c r="K68" s="35">
        <f t="shared" si="11"/>
        <v>1708.7146785716411</v>
      </c>
      <c r="L68" s="35">
        <f t="shared" si="12"/>
        <v>23789.93008635873</v>
      </c>
      <c r="M68" s="35">
        <f>$C$3-SUM($J$14:J68)</f>
        <v>114615.95887794415</v>
      </c>
    </row>
    <row r="69" spans="1:13" x14ac:dyDescent="0.25">
      <c r="A69" s="44">
        <v>43708</v>
      </c>
      <c r="B69" s="27">
        <v>56</v>
      </c>
      <c r="C69" s="35">
        <f t="shared" si="6"/>
        <v>16666.666666666668</v>
      </c>
      <c r="D69" s="35">
        <f t="shared" si="7"/>
        <v>1041.666666666677</v>
      </c>
      <c r="E69" s="35">
        <f t="shared" si="15"/>
        <v>17708.333333333343</v>
      </c>
      <c r="F69" s="35">
        <f t="shared" si="16"/>
        <v>66666.666666667501</v>
      </c>
      <c r="H69" s="44">
        <f t="shared" si="3"/>
        <v>43708</v>
      </c>
      <c r="I69" s="27">
        <f t="shared" si="4"/>
        <v>56</v>
      </c>
      <c r="J69" s="35">
        <f t="shared" si="8"/>
        <v>22357.230600384428</v>
      </c>
      <c r="K69" s="35">
        <f t="shared" si="11"/>
        <v>1432.6994859743022</v>
      </c>
      <c r="L69" s="35">
        <f t="shared" si="12"/>
        <v>23789.93008635873</v>
      </c>
      <c r="M69" s="35">
        <f>$C$3-SUM($J$14:J69)</f>
        <v>92258.728277559741</v>
      </c>
    </row>
    <row r="70" spans="1:13" x14ac:dyDescent="0.25">
      <c r="A70" s="44">
        <v>43738</v>
      </c>
      <c r="B70" s="27">
        <v>57</v>
      </c>
      <c r="C70" s="35">
        <f t="shared" si="6"/>
        <v>16666.666666666668</v>
      </c>
      <c r="D70" s="35">
        <f t="shared" si="7"/>
        <v>833.33333333334372</v>
      </c>
      <c r="E70" s="35">
        <f t="shared" si="15"/>
        <v>17500.000000000011</v>
      </c>
      <c r="F70" s="35">
        <f t="shared" si="16"/>
        <v>50000.000000000829</v>
      </c>
      <c r="H70" s="44">
        <f t="shared" si="3"/>
        <v>43738</v>
      </c>
      <c r="I70" s="27">
        <f t="shared" si="4"/>
        <v>57</v>
      </c>
      <c r="J70" s="35">
        <f t="shared" si="8"/>
        <v>22636.695982889236</v>
      </c>
      <c r="K70" s="35">
        <f t="shared" si="11"/>
        <v>1153.2341034694971</v>
      </c>
      <c r="L70" s="35">
        <f t="shared" si="12"/>
        <v>23789.930086358734</v>
      </c>
      <c r="M70" s="35">
        <f>$C$3-SUM($J$14:J70)</f>
        <v>69622.032294670469</v>
      </c>
    </row>
    <row r="71" spans="1:13" x14ac:dyDescent="0.25">
      <c r="A71" s="44">
        <v>43769</v>
      </c>
      <c r="B71" s="27">
        <v>58</v>
      </c>
      <c r="C71" s="35">
        <f t="shared" si="6"/>
        <v>16666.666666666668</v>
      </c>
      <c r="D71" s="35">
        <f t="shared" si="7"/>
        <v>625.00000000001035</v>
      </c>
      <c r="E71" s="35">
        <f t="shared" si="15"/>
        <v>17291.666666666679</v>
      </c>
      <c r="F71" s="35">
        <f t="shared" si="16"/>
        <v>33333.333333334158</v>
      </c>
      <c r="H71" s="44">
        <f t="shared" si="3"/>
        <v>43769</v>
      </c>
      <c r="I71" s="27">
        <f t="shared" si="4"/>
        <v>58</v>
      </c>
      <c r="J71" s="35">
        <f t="shared" si="8"/>
        <v>22919.654682675351</v>
      </c>
      <c r="K71" s="35">
        <f t="shared" si="11"/>
        <v>870.27540368338168</v>
      </c>
      <c r="L71" s="35">
        <f t="shared" si="12"/>
        <v>23789.930086358734</v>
      </c>
      <c r="M71" s="35">
        <f>$C$3-SUM($J$14:J71)</f>
        <v>46702.377611995093</v>
      </c>
    </row>
    <row r="72" spans="1:13" x14ac:dyDescent="0.25">
      <c r="A72" s="44">
        <v>43799</v>
      </c>
      <c r="B72" s="27">
        <v>59</v>
      </c>
      <c r="C72" s="35">
        <f t="shared" si="6"/>
        <v>16666.666666666668</v>
      </c>
      <c r="D72" s="35">
        <f t="shared" si="7"/>
        <v>416.66666666667692</v>
      </c>
      <c r="E72" s="35">
        <f t="shared" si="15"/>
        <v>17083.333333333343</v>
      </c>
      <c r="F72" s="35">
        <f t="shared" si="16"/>
        <v>16666.66666666749</v>
      </c>
      <c r="H72" s="44">
        <f t="shared" si="3"/>
        <v>43799</v>
      </c>
      <c r="I72" s="27">
        <f t="shared" si="4"/>
        <v>59</v>
      </c>
      <c r="J72" s="35">
        <f t="shared" si="8"/>
        <v>23206.150366208793</v>
      </c>
      <c r="K72" s="35">
        <f t="shared" si="11"/>
        <v>583.77972014993986</v>
      </c>
      <c r="L72" s="35">
        <f t="shared" si="12"/>
        <v>23789.930086358734</v>
      </c>
      <c r="M72" s="35">
        <f>$C$3-SUM($J$14:J72)</f>
        <v>23496.227245786344</v>
      </c>
    </row>
    <row r="73" spans="1:13" x14ac:dyDescent="0.25">
      <c r="A73" s="44">
        <v>43830</v>
      </c>
      <c r="B73" s="27">
        <v>60</v>
      </c>
      <c r="C73" s="35">
        <f t="shared" si="6"/>
        <v>16666.666666666668</v>
      </c>
      <c r="D73" s="35">
        <f t="shared" si="7"/>
        <v>208.3333333333436</v>
      </c>
      <c r="E73" s="35">
        <f t="shared" si="15"/>
        <v>16875.000000000011</v>
      </c>
      <c r="F73" s="35">
        <f t="shared" si="16"/>
        <v>8.2218321040272713E-10</v>
      </c>
      <c r="H73" s="44">
        <f t="shared" si="3"/>
        <v>43830</v>
      </c>
      <c r="I73" s="27">
        <f t="shared" si="4"/>
        <v>60</v>
      </c>
      <c r="J73" s="35">
        <f t="shared" si="8"/>
        <v>23496.227245786406</v>
      </c>
      <c r="K73" s="35">
        <f t="shared" si="11"/>
        <v>293.70284057232999</v>
      </c>
      <c r="L73" s="35">
        <f t="shared" si="12"/>
        <v>23789.930086358734</v>
      </c>
      <c r="M73" s="35">
        <f>$C$3-SUM($J$14:J73)</f>
        <v>0</v>
      </c>
    </row>
    <row r="74" spans="1:13" x14ac:dyDescent="0.25">
      <c r="A74" s="27"/>
      <c r="B74" s="27"/>
      <c r="C74" s="41">
        <f>SUM(C14:C73)</f>
        <v>999999.99999999919</v>
      </c>
      <c r="D74" s="41">
        <f t="shared" ref="D74:E74" si="17">SUM(D14:D73)</f>
        <v>381250.0000000007</v>
      </c>
      <c r="E74" s="41">
        <f t="shared" si="17"/>
        <v>1381250</v>
      </c>
      <c r="F74" s="35"/>
      <c r="H74" s="44"/>
      <c r="I74" s="27"/>
      <c r="J74" s="41">
        <f>SUM(J14:J73)</f>
        <v>1000000.0000000001</v>
      </c>
      <c r="K74" s="41">
        <f t="shared" ref="K74" si="18">SUM(K14:K73)</f>
        <v>427395.8051815239</v>
      </c>
      <c r="L74" s="41">
        <f t="shared" ref="L74" si="19">SUM(L14:L73)</f>
        <v>1427395.8051815224</v>
      </c>
      <c r="M74" s="27"/>
    </row>
    <row r="75" spans="1:13" x14ac:dyDescent="0.25">
      <c r="A75" s="36"/>
      <c r="B75" s="36"/>
      <c r="C75" s="45"/>
      <c r="D75" s="45"/>
      <c r="E75" s="45"/>
      <c r="F75" s="40"/>
    </row>
    <row r="76" spans="1:13" x14ac:dyDescent="0.25">
      <c r="A76" s="36"/>
      <c r="F76" s="40"/>
    </row>
    <row r="77" spans="1:13" x14ac:dyDescent="0.25">
      <c r="A77" s="36"/>
      <c r="B77" s="36"/>
      <c r="C77" s="45"/>
      <c r="D77" s="45"/>
      <c r="E77" s="45"/>
      <c r="F77" s="40"/>
    </row>
    <row r="79" spans="1:13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Эффективная ставка</vt:lpstr>
      <vt:lpstr>EXCEL2.RU</vt:lpstr>
      <vt:lpstr>Кредит</vt:lpstr>
      <vt:lpstr>сравнение схем погашения (1год)</vt:lpstr>
      <vt:lpstr>сравнение схем погашения (5лет)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2011-01-28T19:03:17Z</cp:lastPrinted>
  <dcterms:created xsi:type="dcterms:W3CDTF">2009-03-02T05:21:58Z</dcterms:created>
  <dcterms:modified xsi:type="dcterms:W3CDTF">2015-04-19T18:41:26Z</dcterms:modified>
</cp:coreProperties>
</file>