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506"/>
  </bookViews>
  <sheets>
    <sheet name="interest" sheetId="19" r:id="rId1"/>
    <sheet name="EXCEL2.RU (3)" sheetId="20" state="veryHidden" r:id="rId2"/>
    <sheet name="EXCEL2.RU" sheetId="21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1" i="19" l="1"/>
  <c r="B10" i="19"/>
  <c r="B18" i="19"/>
  <c r="C28" i="19"/>
  <c r="C30" i="19"/>
  <c r="C32" i="19"/>
  <c r="C34" i="19"/>
  <c r="C36" i="19"/>
  <c r="C38" i="19"/>
  <c r="C40" i="19"/>
  <c r="C42" i="19"/>
  <c r="C44" i="19"/>
  <c r="C46" i="19"/>
  <c r="C48" i="19"/>
  <c r="C50" i="19"/>
  <c r="C52" i="19"/>
  <c r="C54" i="19"/>
  <c r="C56" i="19"/>
  <c r="C58" i="19"/>
  <c r="C60" i="19"/>
  <c r="C62" i="19"/>
  <c r="C64" i="19"/>
  <c r="C66" i="19"/>
  <c r="C68" i="19"/>
  <c r="C70" i="19"/>
  <c r="C72" i="19"/>
  <c r="C74" i="19"/>
  <c r="C76" i="19"/>
  <c r="C78" i="19"/>
  <c r="C80" i="19"/>
  <c r="C82" i="19"/>
  <c r="C84" i="19"/>
  <c r="C86" i="19"/>
  <c r="C27" i="19"/>
  <c r="C29" i="19"/>
  <c r="C31" i="19"/>
  <c r="C33" i="19"/>
  <c r="C35" i="19"/>
  <c r="C37" i="19"/>
  <c r="C39" i="19"/>
  <c r="C41" i="19"/>
  <c r="C43" i="19"/>
  <c r="C45" i="19"/>
  <c r="C47" i="19"/>
  <c r="C49" i="19"/>
  <c r="C51" i="19"/>
  <c r="C53" i="19"/>
  <c r="C55" i="19"/>
  <c r="C57" i="19"/>
  <c r="C59" i="19"/>
  <c r="C61" i="19"/>
  <c r="C63" i="19"/>
  <c r="C65" i="19"/>
  <c r="C67" i="19"/>
  <c r="C69" i="19"/>
  <c r="C71" i="19"/>
  <c r="C73" i="19"/>
  <c r="C75" i="19"/>
  <c r="C77" i="19"/>
  <c r="C79" i="19"/>
  <c r="C81" i="19"/>
  <c r="C83" i="19"/>
  <c r="C85" i="19"/>
  <c r="B27" i="19"/>
  <c r="A27" i="19"/>
  <c r="A28" i="19"/>
  <c r="A29" i="19"/>
  <c r="A30" i="19"/>
  <c r="A31" i="19"/>
  <c r="A32" i="19"/>
  <c r="A33" i="19"/>
  <c r="B1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Q28" i="19"/>
  <c r="Q30" i="19"/>
  <c r="Q32" i="19"/>
  <c r="Q34" i="19"/>
  <c r="Q36" i="19"/>
  <c r="Q38" i="19"/>
  <c r="Q40" i="19"/>
  <c r="Q42" i="19"/>
  <c r="Q44" i="19"/>
  <c r="Q46" i="19"/>
  <c r="Q48" i="19"/>
  <c r="Q50" i="19"/>
  <c r="Q52" i="19"/>
  <c r="Q54" i="19"/>
  <c r="Q56" i="19"/>
  <c r="Q58" i="19"/>
  <c r="Q60" i="19"/>
  <c r="Q62" i="19"/>
  <c r="Q64" i="19"/>
  <c r="Q66" i="19"/>
  <c r="Q68" i="19"/>
  <c r="Q70" i="19"/>
  <c r="Q72" i="19"/>
  <c r="Q74" i="19"/>
  <c r="Q76" i="19"/>
  <c r="Q78" i="19"/>
  <c r="Q80" i="19"/>
  <c r="Q82" i="19"/>
  <c r="Q84" i="19"/>
  <c r="Q86" i="19"/>
  <c r="Q29" i="19"/>
  <c r="Q31" i="19"/>
  <c r="Q33" i="19"/>
  <c r="Q35" i="19"/>
  <c r="Q37" i="19"/>
  <c r="Q39" i="19"/>
  <c r="Q41" i="19"/>
  <c r="Q43" i="19"/>
  <c r="Q45" i="19"/>
  <c r="Q47" i="19"/>
  <c r="Q49" i="19"/>
  <c r="Q51" i="19"/>
  <c r="Q53" i="19"/>
  <c r="Q55" i="19"/>
  <c r="Q57" i="19"/>
  <c r="Q59" i="19"/>
  <c r="Q61" i="19"/>
  <c r="Q63" i="19"/>
  <c r="Q65" i="19"/>
  <c r="Q67" i="19"/>
  <c r="Q69" i="19"/>
  <c r="Q71" i="19"/>
  <c r="Q73" i="19"/>
  <c r="Q75" i="19"/>
  <c r="Q77" i="19"/>
  <c r="Q79" i="19"/>
  <c r="Q81" i="19"/>
  <c r="Q83" i="19"/>
  <c r="Q85" i="19"/>
  <c r="Q27" i="19"/>
  <c r="P28" i="19"/>
  <c r="P30" i="19"/>
  <c r="P32" i="19"/>
  <c r="P34" i="19"/>
  <c r="P36" i="19"/>
  <c r="P38" i="19"/>
  <c r="P40" i="19"/>
  <c r="P42" i="19"/>
  <c r="P44" i="19"/>
  <c r="P46" i="19"/>
  <c r="P48" i="19"/>
  <c r="P50" i="19"/>
  <c r="P52" i="19"/>
  <c r="P54" i="19"/>
  <c r="P56" i="19"/>
  <c r="P58" i="19"/>
  <c r="P60" i="19"/>
  <c r="P62" i="19"/>
  <c r="P64" i="19"/>
  <c r="P66" i="19"/>
  <c r="P68" i="19"/>
  <c r="P70" i="19"/>
  <c r="P72" i="19"/>
  <c r="P74" i="19"/>
  <c r="P76" i="19"/>
  <c r="P78" i="19"/>
  <c r="P80" i="19"/>
  <c r="P82" i="19"/>
  <c r="P84" i="19"/>
  <c r="P86" i="19"/>
  <c r="P81" i="19"/>
  <c r="P85" i="19"/>
  <c r="P29" i="19"/>
  <c r="P31" i="19"/>
  <c r="P33" i="19"/>
  <c r="P35" i="19"/>
  <c r="P37" i="19"/>
  <c r="P39" i="19"/>
  <c r="P41" i="19"/>
  <c r="P43" i="19"/>
  <c r="P45" i="19"/>
  <c r="P47" i="19"/>
  <c r="P49" i="19"/>
  <c r="P51" i="19"/>
  <c r="P53" i="19"/>
  <c r="P55" i="19"/>
  <c r="P57" i="19"/>
  <c r="P59" i="19"/>
  <c r="P61" i="19"/>
  <c r="P63" i="19"/>
  <c r="P65" i="19"/>
  <c r="P67" i="19"/>
  <c r="P69" i="19"/>
  <c r="P71" i="19"/>
  <c r="P73" i="19"/>
  <c r="P75" i="19"/>
  <c r="P77" i="19"/>
  <c r="P79" i="19"/>
  <c r="P83" i="19"/>
  <c r="P27" i="19"/>
  <c r="O27" i="19"/>
  <c r="O28" i="19"/>
  <c r="O30" i="19"/>
  <c r="O32" i="19"/>
  <c r="O34" i="19"/>
  <c r="O36" i="19"/>
  <c r="O38" i="19"/>
  <c r="O40" i="19"/>
  <c r="O42" i="19"/>
  <c r="O44" i="19"/>
  <c r="O46" i="19"/>
  <c r="O48" i="19"/>
  <c r="O50" i="19"/>
  <c r="O52" i="19"/>
  <c r="O54" i="19"/>
  <c r="O56" i="19"/>
  <c r="O58" i="19"/>
  <c r="O60" i="19"/>
  <c r="O62" i="19"/>
  <c r="O64" i="19"/>
  <c r="O66" i="19"/>
  <c r="O68" i="19"/>
  <c r="O70" i="19"/>
  <c r="O72" i="19"/>
  <c r="O74" i="19"/>
  <c r="O76" i="19"/>
  <c r="O78" i="19"/>
  <c r="O80" i="19"/>
  <c r="O82" i="19"/>
  <c r="O84" i="19"/>
  <c r="O86" i="19"/>
  <c r="O29" i="19"/>
  <c r="O31" i="19"/>
  <c r="O33" i="19"/>
  <c r="O35" i="19"/>
  <c r="O37" i="19"/>
  <c r="O39" i="19"/>
  <c r="O41" i="19"/>
  <c r="O43" i="19"/>
  <c r="O45" i="19"/>
  <c r="O47" i="19"/>
  <c r="O49" i="19"/>
  <c r="O51" i="19"/>
  <c r="O53" i="19"/>
  <c r="O55" i="19"/>
  <c r="O57" i="19"/>
  <c r="O59" i="19"/>
  <c r="O61" i="19"/>
  <c r="O63" i="19"/>
  <c r="O65" i="19"/>
  <c r="O67" i="19"/>
  <c r="O69" i="19"/>
  <c r="O71" i="19"/>
  <c r="O73" i="19"/>
  <c r="O75" i="19"/>
  <c r="O77" i="19"/>
  <c r="O79" i="19"/>
  <c r="O81" i="19"/>
  <c r="O83" i="19"/>
  <c r="O85" i="19"/>
  <c r="N28" i="19"/>
  <c r="N30" i="19"/>
  <c r="N32" i="19"/>
  <c r="N34" i="19"/>
  <c r="N36" i="19"/>
  <c r="N38" i="19"/>
  <c r="N40" i="19"/>
  <c r="N42" i="19"/>
  <c r="N44" i="19"/>
  <c r="N46" i="19"/>
  <c r="N48" i="19"/>
  <c r="N50" i="19"/>
  <c r="N52" i="19"/>
  <c r="N54" i="19"/>
  <c r="N56" i="19"/>
  <c r="N58" i="19"/>
  <c r="N60" i="19"/>
  <c r="N62" i="19"/>
  <c r="N64" i="19"/>
  <c r="N66" i="19"/>
  <c r="N68" i="19"/>
  <c r="N70" i="19"/>
  <c r="N72" i="19"/>
  <c r="N74" i="19"/>
  <c r="N76" i="19"/>
  <c r="N78" i="19"/>
  <c r="N80" i="19"/>
  <c r="N82" i="19"/>
  <c r="N84" i="19"/>
  <c r="N86" i="19"/>
  <c r="N29" i="19"/>
  <c r="N31" i="19"/>
  <c r="N33" i="19"/>
  <c r="N35" i="19"/>
  <c r="N37" i="19"/>
  <c r="N39" i="19"/>
  <c r="N41" i="19"/>
  <c r="N43" i="19"/>
  <c r="N45" i="19"/>
  <c r="N47" i="19"/>
  <c r="N49" i="19"/>
  <c r="N51" i="19"/>
  <c r="N53" i="19"/>
  <c r="N55" i="19"/>
  <c r="N57" i="19"/>
  <c r="N59" i="19"/>
  <c r="N61" i="19"/>
  <c r="N63" i="19"/>
  <c r="N65" i="19"/>
  <c r="N67" i="19"/>
  <c r="N69" i="19"/>
  <c r="N71" i="19"/>
  <c r="N73" i="19"/>
  <c r="N75" i="19"/>
  <c r="N77" i="19"/>
  <c r="N79" i="19"/>
  <c r="N81" i="19"/>
  <c r="N83" i="19"/>
  <c r="N85" i="19"/>
  <c r="N27" i="19"/>
  <c r="J84" i="19"/>
  <c r="K84" i="19"/>
  <c r="K85" i="19"/>
  <c r="J85" i="19"/>
  <c r="K83" i="19"/>
  <c r="J83" i="19"/>
  <c r="K81" i="19"/>
  <c r="J81" i="19"/>
  <c r="K79" i="19"/>
  <c r="J79" i="19"/>
  <c r="K77" i="19"/>
  <c r="J77" i="19"/>
  <c r="K75" i="19"/>
  <c r="J75" i="19"/>
  <c r="K73" i="19"/>
  <c r="J73" i="19"/>
  <c r="K71" i="19"/>
  <c r="J71" i="19"/>
  <c r="K69" i="19"/>
  <c r="J69" i="19"/>
  <c r="K67" i="19"/>
  <c r="J67" i="19"/>
  <c r="K65" i="19"/>
  <c r="J65" i="19"/>
  <c r="K63" i="19"/>
  <c r="J63" i="19"/>
  <c r="K61" i="19"/>
  <c r="J61" i="19"/>
  <c r="K59" i="19"/>
  <c r="J59" i="19"/>
  <c r="K57" i="19"/>
  <c r="J57" i="19"/>
  <c r="K55" i="19"/>
  <c r="J55" i="19"/>
  <c r="K53" i="19"/>
  <c r="J53" i="19"/>
  <c r="K51" i="19"/>
  <c r="J51" i="19"/>
  <c r="K49" i="19"/>
  <c r="J49" i="19"/>
  <c r="K47" i="19"/>
  <c r="J47" i="19"/>
  <c r="K45" i="19"/>
  <c r="J45" i="19"/>
  <c r="K43" i="19"/>
  <c r="J43" i="19"/>
  <c r="K41" i="19"/>
  <c r="J41" i="19"/>
  <c r="K39" i="19"/>
  <c r="J39" i="19"/>
  <c r="K37" i="19"/>
  <c r="J37" i="19"/>
  <c r="K35" i="19"/>
  <c r="J35" i="19"/>
  <c r="J32" i="19"/>
  <c r="K32" i="19"/>
  <c r="J30" i="19"/>
  <c r="K30" i="19"/>
  <c r="J28" i="19"/>
  <c r="K28" i="19"/>
  <c r="J86" i="19"/>
  <c r="K86" i="19"/>
  <c r="J82" i="19"/>
  <c r="K82" i="19"/>
  <c r="J80" i="19"/>
  <c r="K80" i="19"/>
  <c r="J78" i="19"/>
  <c r="K78" i="19"/>
  <c r="J76" i="19"/>
  <c r="K76" i="19"/>
  <c r="J74" i="19"/>
  <c r="K74" i="19"/>
  <c r="J72" i="19"/>
  <c r="K72" i="19"/>
  <c r="J70" i="19"/>
  <c r="K70" i="19"/>
  <c r="J68" i="19"/>
  <c r="K68" i="19"/>
  <c r="J66" i="19"/>
  <c r="K66" i="19"/>
  <c r="J64" i="19"/>
  <c r="K64" i="19"/>
  <c r="J62" i="19"/>
  <c r="K62" i="19"/>
  <c r="J60" i="19"/>
  <c r="K60" i="19"/>
  <c r="J58" i="19"/>
  <c r="K58" i="19"/>
  <c r="J56" i="19"/>
  <c r="K56" i="19"/>
  <c r="J54" i="19"/>
  <c r="K54" i="19"/>
  <c r="J52" i="19"/>
  <c r="K52" i="19"/>
  <c r="J50" i="19"/>
  <c r="K50" i="19"/>
  <c r="J48" i="19"/>
  <c r="K48" i="19"/>
  <c r="J46" i="19"/>
  <c r="K46" i="19"/>
  <c r="J44" i="19"/>
  <c r="K44" i="19"/>
  <c r="J42" i="19"/>
  <c r="K42" i="19"/>
  <c r="J40" i="19"/>
  <c r="K40" i="19"/>
  <c r="J38" i="19"/>
  <c r="K38" i="19"/>
  <c r="J36" i="19"/>
  <c r="K36" i="19"/>
  <c r="J34" i="19"/>
  <c r="K34" i="19"/>
  <c r="K33" i="19"/>
  <c r="J33" i="19"/>
  <c r="K31" i="19"/>
  <c r="J31" i="19"/>
  <c r="K29" i="19"/>
  <c r="J29" i="19"/>
  <c r="K27" i="19"/>
  <c r="J27" i="19"/>
  <c r="I86" i="19"/>
  <c r="I28" i="19"/>
  <c r="I30" i="19"/>
  <c r="I32" i="19"/>
  <c r="I34" i="19"/>
  <c r="I36" i="19"/>
  <c r="I38" i="19"/>
  <c r="I40" i="19"/>
  <c r="I42" i="19"/>
  <c r="I44" i="19"/>
  <c r="I46" i="19"/>
  <c r="I48" i="19"/>
  <c r="I50" i="19"/>
  <c r="I52" i="19"/>
  <c r="I54" i="19"/>
  <c r="I56" i="19"/>
  <c r="I58" i="19"/>
  <c r="I60" i="19"/>
  <c r="I62" i="19"/>
  <c r="I64" i="19"/>
  <c r="I66" i="19"/>
  <c r="I68" i="19"/>
  <c r="I70" i="19"/>
  <c r="I72" i="19"/>
  <c r="I74" i="19"/>
  <c r="I76" i="19"/>
  <c r="I78" i="19"/>
  <c r="I80" i="19"/>
  <c r="I82" i="19"/>
  <c r="I84" i="19"/>
  <c r="I27" i="19"/>
  <c r="I29" i="19"/>
  <c r="I31" i="19"/>
  <c r="I33" i="19"/>
  <c r="I35" i="19"/>
  <c r="I37" i="19"/>
  <c r="I39" i="19"/>
  <c r="I41" i="19"/>
  <c r="I43" i="19"/>
  <c r="I45" i="19"/>
  <c r="I47" i="19"/>
  <c r="I49" i="19"/>
  <c r="I51" i="19"/>
  <c r="I53" i="19"/>
  <c r="I55" i="19"/>
  <c r="I57" i="19"/>
  <c r="I59" i="19"/>
  <c r="I61" i="19"/>
  <c r="I63" i="19"/>
  <c r="I65" i="19"/>
  <c r="I67" i="19"/>
  <c r="I69" i="19"/>
  <c r="I71" i="19"/>
  <c r="I73" i="19"/>
  <c r="I75" i="19"/>
  <c r="I77" i="19"/>
  <c r="I79" i="19"/>
  <c r="I81" i="19"/>
  <c r="I83" i="19"/>
  <c r="I85" i="19"/>
  <c r="E83" i="19"/>
  <c r="D83" i="19"/>
  <c r="E79" i="19"/>
  <c r="D79" i="19"/>
  <c r="E75" i="19"/>
  <c r="D75" i="19"/>
  <c r="E71" i="19"/>
  <c r="D71" i="19"/>
  <c r="E67" i="19"/>
  <c r="D67" i="19"/>
  <c r="E63" i="19"/>
  <c r="D63" i="19"/>
  <c r="E59" i="19"/>
  <c r="D59" i="19"/>
  <c r="E55" i="19"/>
  <c r="D55" i="19"/>
  <c r="E51" i="19"/>
  <c r="D51" i="19"/>
  <c r="E47" i="19"/>
  <c r="D47" i="19"/>
  <c r="E43" i="19"/>
  <c r="D43" i="19"/>
  <c r="E41" i="19"/>
  <c r="D41" i="19"/>
  <c r="E39" i="19"/>
  <c r="D39" i="19"/>
  <c r="E37" i="19"/>
  <c r="D37" i="19"/>
  <c r="E35" i="19"/>
  <c r="D35" i="19"/>
  <c r="E32" i="19"/>
  <c r="D32" i="19"/>
  <c r="E30" i="19"/>
  <c r="D30" i="19"/>
  <c r="E28" i="19"/>
  <c r="D28" i="19"/>
  <c r="E85" i="19"/>
  <c r="D85" i="19"/>
  <c r="E81" i="19"/>
  <c r="D81" i="19"/>
  <c r="E77" i="19"/>
  <c r="D77" i="19"/>
  <c r="E73" i="19"/>
  <c r="D73" i="19"/>
  <c r="E69" i="19"/>
  <c r="D69" i="19"/>
  <c r="E65" i="19"/>
  <c r="D65" i="19"/>
  <c r="E61" i="19"/>
  <c r="D61" i="19"/>
  <c r="E57" i="19"/>
  <c r="D57" i="19"/>
  <c r="E53" i="19"/>
  <c r="D53" i="19"/>
  <c r="E49" i="19"/>
  <c r="D49" i="19"/>
  <c r="E45" i="19"/>
  <c r="D45" i="19"/>
  <c r="E86" i="19"/>
  <c r="D86" i="19"/>
  <c r="E84" i="19"/>
  <c r="D84" i="19"/>
  <c r="E82" i="19"/>
  <c r="D82" i="19"/>
  <c r="E80" i="19"/>
  <c r="D80" i="19"/>
  <c r="E78" i="19"/>
  <c r="D78" i="19"/>
  <c r="E76" i="19"/>
  <c r="D76" i="19"/>
  <c r="E74" i="19"/>
  <c r="D74" i="19"/>
  <c r="E72" i="19"/>
  <c r="D72" i="19"/>
  <c r="E70" i="19"/>
  <c r="D70" i="19"/>
  <c r="E68" i="19"/>
  <c r="D68" i="19"/>
  <c r="E66" i="19"/>
  <c r="D66" i="19"/>
  <c r="E64" i="19"/>
  <c r="D64" i="19"/>
  <c r="E62" i="19"/>
  <c r="D62" i="19"/>
  <c r="E60" i="19"/>
  <c r="D60" i="19"/>
  <c r="E58" i="19"/>
  <c r="D58" i="19"/>
  <c r="E56" i="19"/>
  <c r="D56" i="19"/>
  <c r="E54" i="19"/>
  <c r="D54" i="19"/>
  <c r="E52" i="19"/>
  <c r="D52" i="19"/>
  <c r="E50" i="19"/>
  <c r="D50" i="19"/>
  <c r="E48" i="19"/>
  <c r="D48" i="19"/>
  <c r="E46" i="19"/>
  <c r="D46" i="19"/>
  <c r="E44" i="19"/>
  <c r="D44" i="19"/>
  <c r="E42" i="19"/>
  <c r="D42" i="19"/>
  <c r="E40" i="19"/>
  <c r="D40" i="19"/>
  <c r="E38" i="19"/>
  <c r="D38" i="19"/>
  <c r="E36" i="19"/>
  <c r="D36" i="19"/>
  <c r="E34" i="19"/>
  <c r="D34" i="19"/>
  <c r="E33" i="19"/>
  <c r="D33" i="19"/>
  <c r="E31" i="19"/>
  <c r="D31" i="19"/>
  <c r="E29" i="19"/>
  <c r="D29" i="19"/>
  <c r="E27" i="19"/>
  <c r="D27" i="19"/>
  <c r="H30" i="19"/>
  <c r="H34" i="19"/>
  <c r="H38" i="19"/>
  <c r="H42" i="19"/>
  <c r="H46" i="19"/>
  <c r="H50" i="19"/>
  <c r="H54" i="19"/>
  <c r="H58" i="19"/>
  <c r="H62" i="19"/>
  <c r="H66" i="19"/>
  <c r="H70" i="19"/>
  <c r="H74" i="19"/>
  <c r="H78" i="19"/>
  <c r="H82" i="19"/>
  <c r="H86" i="19"/>
  <c r="H29" i="19"/>
  <c r="H33" i="19"/>
  <c r="H37" i="19"/>
  <c r="H41" i="19"/>
  <c r="H45" i="19"/>
  <c r="H49" i="19"/>
  <c r="H53" i="19"/>
  <c r="H57" i="19"/>
  <c r="H61" i="19"/>
  <c r="H65" i="19"/>
  <c r="H69" i="19"/>
  <c r="H73" i="19"/>
  <c r="H77" i="19"/>
  <c r="H81" i="19"/>
  <c r="H85" i="19"/>
  <c r="H28" i="19"/>
  <c r="H32" i="19"/>
  <c r="H36" i="19"/>
  <c r="H40" i="19"/>
  <c r="H44" i="19"/>
  <c r="H48" i="19"/>
  <c r="H52" i="19"/>
  <c r="H56" i="19"/>
  <c r="H60" i="19"/>
  <c r="H64" i="19"/>
  <c r="H68" i="19"/>
  <c r="H72" i="19"/>
  <c r="H76" i="19"/>
  <c r="H80" i="19"/>
  <c r="H84" i="19"/>
  <c r="H27" i="19"/>
  <c r="H31" i="19"/>
  <c r="H35" i="19"/>
  <c r="H39" i="19"/>
  <c r="H43" i="19"/>
  <c r="H47" i="19"/>
  <c r="H51" i="19"/>
  <c r="H55" i="19"/>
  <c r="H59" i="19"/>
  <c r="H63" i="19"/>
  <c r="H67" i="19"/>
  <c r="H71" i="19"/>
  <c r="H75" i="19"/>
  <c r="H79" i="19"/>
  <c r="H83" i="19"/>
  <c r="R83" i="19"/>
  <c r="R79" i="19"/>
  <c r="R75" i="19"/>
  <c r="R71" i="19"/>
  <c r="R67" i="19"/>
  <c r="R63" i="19"/>
  <c r="R59" i="19"/>
  <c r="R55" i="19"/>
  <c r="R51" i="19"/>
  <c r="R47" i="19"/>
  <c r="R43" i="19"/>
  <c r="R39" i="19"/>
  <c r="R35" i="19"/>
  <c r="R31" i="19"/>
  <c r="R86" i="19"/>
  <c r="R82" i="19"/>
  <c r="R78" i="19"/>
  <c r="R74" i="19"/>
  <c r="R70" i="19"/>
  <c r="R66" i="19"/>
  <c r="R62" i="19"/>
  <c r="R58" i="19"/>
  <c r="R54" i="19"/>
  <c r="R50" i="19"/>
  <c r="R46" i="19"/>
  <c r="R42" i="19"/>
  <c r="R38" i="19"/>
  <c r="R34" i="19"/>
  <c r="R30" i="19"/>
  <c r="R85" i="19"/>
  <c r="R81" i="19"/>
  <c r="R77" i="19"/>
  <c r="R73" i="19"/>
  <c r="R69" i="19"/>
  <c r="R65" i="19"/>
  <c r="R61" i="19"/>
  <c r="R57" i="19"/>
  <c r="R53" i="19"/>
  <c r="R49" i="19"/>
  <c r="R45" i="19"/>
  <c r="R41" i="19"/>
  <c r="R37" i="19"/>
  <c r="R33" i="19"/>
  <c r="R29" i="19"/>
  <c r="R84" i="19"/>
  <c r="R80" i="19"/>
  <c r="R76" i="19"/>
  <c r="R72" i="19"/>
  <c r="R68" i="19"/>
  <c r="R64" i="19"/>
  <c r="R60" i="19"/>
  <c r="R56" i="19"/>
  <c r="R52" i="19"/>
  <c r="R48" i="19"/>
  <c r="R44" i="19"/>
  <c r="R40" i="19"/>
  <c r="R36" i="19"/>
  <c r="R32" i="19"/>
  <c r="R28" i="19"/>
  <c r="R27" i="19"/>
  <c r="E87" i="19"/>
  <c r="F28" i="19"/>
  <c r="F30" i="19"/>
  <c r="F32" i="19"/>
  <c r="F34" i="19"/>
  <c r="F36" i="19"/>
  <c r="F38" i="19"/>
  <c r="F40" i="19"/>
  <c r="F42" i="19"/>
  <c r="F44" i="19"/>
  <c r="F46" i="19"/>
  <c r="F48" i="19"/>
  <c r="F50" i="19"/>
  <c r="F52" i="19"/>
  <c r="F54" i="19"/>
  <c r="F56" i="19"/>
  <c r="F58" i="19"/>
  <c r="F60" i="19"/>
  <c r="F62" i="19"/>
  <c r="F64" i="19"/>
  <c r="F66" i="19"/>
  <c r="F68" i="19"/>
  <c r="F70" i="19"/>
  <c r="F72" i="19"/>
  <c r="F74" i="19"/>
  <c r="F76" i="19"/>
  <c r="F78" i="19"/>
  <c r="F80" i="19"/>
  <c r="F82" i="19"/>
  <c r="F84" i="19"/>
  <c r="F86" i="19"/>
  <c r="B30" i="19"/>
  <c r="B32" i="19"/>
  <c r="G32" i="19" s="1"/>
  <c r="B34" i="19"/>
  <c r="G34" i="19" s="1"/>
  <c r="B36" i="19"/>
  <c r="G36" i="19" s="1"/>
  <c r="B38" i="19"/>
  <c r="G38" i="19" s="1"/>
  <c r="B40" i="19"/>
  <c r="G40" i="19" s="1"/>
  <c r="B42" i="19"/>
  <c r="G42" i="19" s="1"/>
  <c r="B44" i="19"/>
  <c r="G44" i="19" s="1"/>
  <c r="B46" i="19"/>
  <c r="G46" i="19" s="1"/>
  <c r="B48" i="19"/>
  <c r="G48" i="19" s="1"/>
  <c r="B50" i="19"/>
  <c r="G50" i="19" s="1"/>
  <c r="B52" i="19"/>
  <c r="G52" i="19" s="1"/>
  <c r="B54" i="19"/>
  <c r="G54" i="19" s="1"/>
  <c r="B56" i="19"/>
  <c r="G56" i="19" s="1"/>
  <c r="B58" i="19"/>
  <c r="G58" i="19" s="1"/>
  <c r="B60" i="19"/>
  <c r="G60" i="19" s="1"/>
  <c r="B62" i="19"/>
  <c r="G62" i="19" s="1"/>
  <c r="B64" i="19"/>
  <c r="G64" i="19" s="1"/>
  <c r="B66" i="19"/>
  <c r="G66" i="19" s="1"/>
  <c r="B68" i="19"/>
  <c r="G68" i="19" s="1"/>
  <c r="B70" i="19"/>
  <c r="G70" i="19" s="1"/>
  <c r="B72" i="19"/>
  <c r="G72" i="19" s="1"/>
  <c r="B74" i="19"/>
  <c r="G74" i="19" s="1"/>
  <c r="B76" i="19"/>
  <c r="G76" i="19" s="1"/>
  <c r="B78" i="19"/>
  <c r="G78" i="19" s="1"/>
  <c r="B80" i="19"/>
  <c r="G80" i="19" s="1"/>
  <c r="B82" i="19"/>
  <c r="G82" i="19" s="1"/>
  <c r="B84" i="19"/>
  <c r="G84" i="19" s="1"/>
  <c r="B86" i="19"/>
  <c r="G86" i="19" s="1"/>
  <c r="D87" i="19"/>
  <c r="G27" i="19"/>
  <c r="F27" i="19"/>
  <c r="F29" i="19"/>
  <c r="F31" i="19"/>
  <c r="F33" i="19"/>
  <c r="F35" i="19"/>
  <c r="F37" i="19"/>
  <c r="F39" i="19"/>
  <c r="F41" i="19"/>
  <c r="F43" i="19"/>
  <c r="F45" i="19"/>
  <c r="F47" i="19"/>
  <c r="F49" i="19"/>
  <c r="F51" i="19"/>
  <c r="F53" i="19"/>
  <c r="F55" i="19"/>
  <c r="F57" i="19"/>
  <c r="F59" i="19"/>
  <c r="F61" i="19"/>
  <c r="F63" i="19"/>
  <c r="F65" i="19"/>
  <c r="F67" i="19"/>
  <c r="F69" i="19"/>
  <c r="F71" i="19"/>
  <c r="F73" i="19"/>
  <c r="F75" i="19"/>
  <c r="F77" i="19"/>
  <c r="F79" i="19"/>
  <c r="F81" i="19"/>
  <c r="F83" i="19"/>
  <c r="F85" i="19"/>
  <c r="B28" i="19"/>
  <c r="G28" i="19" s="1"/>
  <c r="B29" i="19"/>
  <c r="B31" i="19"/>
  <c r="G31" i="19" s="1"/>
  <c r="B33" i="19"/>
  <c r="G33" i="19" s="1"/>
  <c r="B35" i="19"/>
  <c r="G35" i="19" s="1"/>
  <c r="B37" i="19"/>
  <c r="G37" i="19" s="1"/>
  <c r="B39" i="19"/>
  <c r="G39" i="19" s="1"/>
  <c r="B41" i="19"/>
  <c r="G41" i="19" s="1"/>
  <c r="B43" i="19"/>
  <c r="G43" i="19" s="1"/>
  <c r="B45" i="19"/>
  <c r="G45" i="19" s="1"/>
  <c r="B47" i="19"/>
  <c r="G47" i="19" s="1"/>
  <c r="B49" i="19"/>
  <c r="G49" i="19" s="1"/>
  <c r="B51" i="19"/>
  <c r="G51" i="19" s="1"/>
  <c r="B53" i="19"/>
  <c r="G53" i="19" s="1"/>
  <c r="B55" i="19"/>
  <c r="G55" i="19" s="1"/>
  <c r="B57" i="19"/>
  <c r="G57" i="19" s="1"/>
  <c r="B59" i="19"/>
  <c r="G59" i="19" s="1"/>
  <c r="B61" i="19"/>
  <c r="G61" i="19" s="1"/>
  <c r="B63" i="19"/>
  <c r="G63" i="19" s="1"/>
  <c r="B65" i="19"/>
  <c r="G65" i="19" s="1"/>
  <c r="B67" i="19"/>
  <c r="G67" i="19" s="1"/>
  <c r="B69" i="19"/>
  <c r="G69" i="19" s="1"/>
  <c r="B71" i="19"/>
  <c r="G71" i="19" s="1"/>
  <c r="B73" i="19"/>
  <c r="G73" i="19" s="1"/>
  <c r="B75" i="19"/>
  <c r="G75" i="19" s="1"/>
  <c r="B77" i="19"/>
  <c r="G77" i="19" s="1"/>
  <c r="B79" i="19"/>
  <c r="G79" i="19" s="1"/>
  <c r="B81" i="19"/>
  <c r="G81" i="19" s="1"/>
  <c r="B83" i="19"/>
  <c r="G83" i="19" s="1"/>
  <c r="B85" i="19"/>
  <c r="G85" i="19" s="1"/>
  <c r="C87" i="19"/>
  <c r="G29" i="19"/>
  <c r="G30" i="19"/>
  <c r="B17" i="19"/>
</calcChain>
</file>

<file path=xl/sharedStrings.xml><?xml version="1.0" encoding="utf-8"?>
<sst xmlns="http://schemas.openxmlformats.org/spreadsheetml/2006/main" count="65" uniqueCount="61">
  <si>
    <t>type</t>
  </si>
  <si>
    <t>тип</t>
  </si>
  <si>
    <t>Future value</t>
  </si>
  <si>
    <t>fv</t>
  </si>
  <si>
    <t>бс</t>
  </si>
  <si>
    <t>Present value (Loan amount)</t>
  </si>
  <si>
    <t>pv</t>
  </si>
  <si>
    <t>пс</t>
  </si>
  <si>
    <t>Months</t>
  </si>
  <si>
    <t>nper</t>
  </si>
  <si>
    <t>кпер</t>
  </si>
  <si>
    <t>Число периодов</t>
  </si>
  <si>
    <t>Interest rate</t>
  </si>
  <si>
    <t>rate</t>
  </si>
  <si>
    <t>ставка</t>
  </si>
  <si>
    <t>% годовой</t>
  </si>
  <si>
    <t>Тип выплаты</t>
  </si>
  <si>
    <t>Параметр</t>
  </si>
  <si>
    <t>Значение</t>
  </si>
  <si>
    <t>Перевод</t>
  </si>
  <si>
    <t>Ежемесячный платеж (аннуитет)</t>
  </si>
  <si>
    <t>Остаток в конце</t>
  </si>
  <si>
    <t>Период (№месяца)</t>
  </si>
  <si>
    <t>Платеж</t>
  </si>
  <si>
    <t>Баланс на начало периода</t>
  </si>
  <si>
    <t>Тело кредита</t>
  </si>
  <si>
    <t>Процент</t>
  </si>
  <si>
    <t>Итог</t>
  </si>
  <si>
    <t>Таблица ежемесячных платежей (с использованием Финансовых функций EXCEL)</t>
  </si>
  <si>
    <t>% за период</t>
  </si>
  <si>
    <t>0- в конце, 1 - в начале периода</t>
  </si>
  <si>
    <t>Число платежей в год</t>
  </si>
  <si>
    <t>Срок кредита, лет</t>
  </si>
  <si>
    <t>Размер ссуды</t>
  </si>
  <si>
    <t>Баланс на начало периода2</t>
  </si>
  <si>
    <t>Баланс на конец периода</t>
  </si>
  <si>
    <t>Баланс на конец периода2</t>
  </si>
  <si>
    <t>Всего погашено тело кредита</t>
  </si>
  <si>
    <t>Аргумент</t>
  </si>
  <si>
    <t>ПЛТ</t>
  </si>
  <si>
    <t>pmt</t>
  </si>
  <si>
    <t>Начальный период</t>
  </si>
  <si>
    <t>Конечный период</t>
  </si>
  <si>
    <t>Баланс на начало периода3</t>
  </si>
  <si>
    <t>Баланс на конец периода3</t>
  </si>
  <si>
    <t>проверка</t>
  </si>
  <si>
    <t>Период</t>
  </si>
  <si>
    <t>Формулы эквивалентные ПРПЛТ()</t>
  </si>
  <si>
    <t>ПРПЛТ</t>
  </si>
  <si>
    <t>Выплачено % между периодами</t>
  </si>
  <si>
    <t>ОБЩПЛАТ - неправильный результат при БС&lt;&gt;0</t>
  </si>
  <si>
    <t>ПРПЛТ при БС=0</t>
  </si>
  <si>
    <t>ПРПЛТ (общий случай)</t>
  </si>
  <si>
    <t>ПРПЛТ (общий случай)2</t>
  </si>
  <si>
    <t>ПРПЛТ (общий случай)3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</si>
  <si>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</si>
  <si>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</si>
  <si>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</si>
  <si>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</si>
  <si>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</si>
  <si>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Аннуитет. Расчет в MS EXCEL выплаченных процентов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</si>
</sst>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&quot;р.&quot;;[Red]\-#,##0.00&quot;р.&quot;"/>
    <numFmt numFmtId="164" formatCode="_(&quot;$&quot;* #,##0.00_);_(&quot;$&quot;* \(#,##0.00\);_(&quot;$&quot;* &quot;-&quot;??_);_(@_)"/>
    <numFmt numFmtId="165" formatCode="0.0%"/>
    <numFmt numFmtId="166" formatCode="0.000%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>
      <alignment horizontal="left"/>
    </xf>
  </cellStyleXfs>
  <cellXfs count="39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NumberFormat="1"/>
    <xf numFmtId="8" fontId="0" fillId="0" borderId="0" xfId="0" applyNumberFormat="1"/>
    <xf numFmtId="0" fontId="0" fillId="0" borderId="1" xfId="0" applyBorder="1"/>
    <xf numFmtId="165" fontId="7" fillId="0" borderId="1" xfId="5" applyNumberFormat="1" applyFont="1" applyBorder="1"/>
    <xf numFmtId="166" fontId="0" fillId="0" borderId="0" xfId="5" applyNumberFormat="1" applyFont="1"/>
    <xf numFmtId="0" fontId="7" fillId="0" borderId="1" xfId="0" applyFont="1" applyBorder="1"/>
    <xf numFmtId="0" fontId="1" fillId="0" borderId="1" xfId="0" applyFont="1" applyBorder="1"/>
    <xf numFmtId="0" fontId="0" fillId="0" borderId="0" xfId="0" applyBorder="1"/>
    <xf numFmtId="8" fontId="0" fillId="0" borderId="1" xfId="0" applyNumberFormat="1" applyBorder="1"/>
    <xf numFmtId="8" fontId="0" fillId="0" borderId="0" xfId="0" applyNumberFormat="1" applyBorder="1"/>
    <xf numFmtId="4" fontId="7" fillId="0" borderId="1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1" xfId="0" applyFont="1" applyBorder="1"/>
    <xf numFmtId="10" fontId="8" fillId="0" borderId="1" xfId="5" applyNumberFormat="1" applyFont="1" applyBorder="1"/>
    <xf numFmtId="1" fontId="7" fillId="0" borderId="1" xfId="5" applyNumberFormat="1" applyFont="1" applyBorder="1"/>
    <xf numFmtId="3" fontId="7" fillId="0" borderId="1" xfId="0" applyNumberFormat="1" applyFont="1" applyBorder="1"/>
    <xf numFmtId="8" fontId="0" fillId="0" borderId="0" xfId="0" applyNumberFormat="1" applyAlignment="1">
      <alignment wrapText="1"/>
    </xf>
    <xf numFmtId="2" fontId="0" fillId="0" borderId="0" xfId="0" applyNumberFormat="1"/>
    <xf numFmtId="4" fontId="0" fillId="0" borderId="0" xfId="0" applyNumberFormat="1"/>
    <xf numFmtId="8" fontId="9" fillId="0" borderId="0" xfId="0" applyNumberFormat="1" applyFont="1"/>
    <xf numFmtId="4" fontId="10" fillId="0" borderId="0" xfId="0" applyNumberFormat="1" applyFont="1"/>
    <xf numFmtId="0" fontId="0" fillId="0" borderId="1" xfId="0" applyFill="1" applyBorder="1"/>
    <xf numFmtId="0" fontId="0" fillId="0" borderId="1" xfId="0" applyFont="1" applyBorder="1"/>
    <xf numFmtId="8" fontId="0" fillId="0" borderId="2" xfId="0" applyNumberFormat="1" applyBorder="1"/>
    <xf numFmtId="0" fontId="0" fillId="0" borderId="1" xfId="0" applyFont="1" applyFill="1" applyBorder="1"/>
    <xf numFmtId="8" fontId="7" fillId="0" borderId="0" xfId="0" applyNumberFormat="1" applyFon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11" fillId="2" borderId="0" xfId="4" applyFont="1" applyFill="1" applyAlignment="1" applyProtection="1">
      <alignment horizontal="center" vertical="center"/>
    </xf>
    <xf numFmtId="0" fontId="12" fillId="3" borderId="0" xfId="1" applyFont="1" applyFill="1" applyAlignment="1">
      <alignment vertical="center" wrapText="1"/>
    </xf>
    <xf numFmtId="0" fontId="11" fillId="2" borderId="0" xfId="7" applyFont="1" applyFill="1" applyAlignment="1" applyProtection="1">
      <alignment vertical="center"/>
    </xf>
    <xf numFmtId="0" fontId="15" fillId="4" borderId="0" xfId="0" applyFont="1" applyFill="1" applyAlignment="1"/>
    <xf numFmtId="0" fontId="16" fillId="4" borderId="0" xfId="0" applyFont="1" applyFill="1" applyAlignment="1">
      <alignment vertical="center"/>
    </xf>
    <xf numFmtId="0" fontId="5" fillId="4" borderId="0" xfId="4" applyFill="1" applyAlignment="1" applyProtection="1"/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8"/>
    <cellStyle name="Процентный" xfId="5" builtinId="5"/>
  </cellStyles>
  <dxfs count="15"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  <alignment horizontal="general" vertical="bottom" textRotation="0" wrapText="1" relativeIndent="0" justifyLastLine="0" shrinkToFit="0" readingOrder="0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numFmt numFmtId="12" formatCode="#,##0.00&quot;р.&quot;;[Red]\-#,##0.00&quot;р.&quot;"/>
    </dxf>
    <dxf>
      <numFmt numFmtId="0" formatCode="General"/>
    </dxf>
    <dxf>
      <alignment horizontal="left" vertical="top" textRotation="0" indent="0" justifyLastLine="0" shrinkToFit="0" readingOrder="0"/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Соотношение доли платежа, идущего на погашение Тела кредита и доли на выплат Процентов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522535630788166E-2"/>
          <c:y val="0.32345218502115258"/>
          <c:w val="0.90503058964774108"/>
          <c:h val="0.58477252677350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interest!$D$26</c:f>
              <c:strCache>
                <c:ptCount val="1"/>
                <c:pt idx="0">
                  <c:v>Тело кредита</c:v>
                </c:pt>
              </c:strCache>
            </c:strRef>
          </c:tx>
          <c:invertIfNegative val="0"/>
          <c:val>
            <c:numRef>
              <c:f>interest!$D$27:$D$86</c:f>
              <c:numCache>
                <c:formatCode>"р."#,##0.00_);[Red]\("р."#,##0.00\)</c:formatCode>
                <c:ptCount val="60"/>
                <c:pt idx="0">
                  <c:v>-1291.3711377934942</c:v>
                </c:pt>
                <c:pt idx="1">
                  <c:v>-1302.1325639417735</c:v>
                </c:pt>
                <c:pt idx="2">
                  <c:v>-1312.9836686412882</c:v>
                </c:pt>
                <c:pt idx="3">
                  <c:v>-1323.9251992132988</c:v>
                </c:pt>
                <c:pt idx="4">
                  <c:v>-1334.9579092067431</c:v>
                </c:pt>
                <c:pt idx="5">
                  <c:v>-1346.0825584501324</c:v>
                </c:pt>
                <c:pt idx="6">
                  <c:v>-1357.2999131038837</c:v>
                </c:pt>
                <c:pt idx="7">
                  <c:v>-1368.6107457130827</c:v>
                </c:pt>
                <c:pt idx="8">
                  <c:v>-1380.0158352606916</c:v>
                </c:pt>
                <c:pt idx="9">
                  <c:v>-1391.5159672211973</c:v>
                </c:pt>
                <c:pt idx="10">
                  <c:v>-1403.1119336147074</c:v>
                </c:pt>
                <c:pt idx="11">
                  <c:v>-1414.8045330614966</c:v>
                </c:pt>
                <c:pt idx="12">
                  <c:v>-1426.5945708370093</c:v>
                </c:pt>
                <c:pt idx="13">
                  <c:v>-1438.4828589273175</c:v>
                </c:pt>
                <c:pt idx="14">
                  <c:v>-1450.4702160850452</c:v>
                </c:pt>
                <c:pt idx="15">
                  <c:v>-1462.5574678857538</c:v>
                </c:pt>
                <c:pt idx="16">
                  <c:v>-1474.7454467848017</c:v>
                </c:pt>
                <c:pt idx="17">
                  <c:v>-1487.0349921746752</c:v>
                </c:pt>
                <c:pt idx="18">
                  <c:v>-1499.4269504427975</c:v>
                </c:pt>
                <c:pt idx="19">
                  <c:v>-1511.9221750298207</c:v>
                </c:pt>
                <c:pt idx="20">
                  <c:v>-1524.5215264884027</c:v>
                </c:pt>
                <c:pt idx="21">
                  <c:v>-1537.2258725424729</c:v>
                </c:pt>
                <c:pt idx="22">
                  <c:v>-1550.0360881469933</c:v>
                </c:pt>
                <c:pt idx="23">
                  <c:v>-1562.9530555482183</c:v>
                </c:pt>
                <c:pt idx="24">
                  <c:v>-1575.9776643444534</c:v>
                </c:pt>
                <c:pt idx="25">
                  <c:v>-1589.1108115473239</c:v>
                </c:pt>
                <c:pt idx="26">
                  <c:v>-1602.3534016435515</c:v>
                </c:pt>
                <c:pt idx="27">
                  <c:v>-1615.7063466572479</c:v>
                </c:pt>
                <c:pt idx="28">
                  <c:v>-1629.1705662127249</c:v>
                </c:pt>
                <c:pt idx="29">
                  <c:v>-1642.7469875978309</c:v>
                </c:pt>
                <c:pt idx="30">
                  <c:v>-1656.4365458278128</c:v>
                </c:pt>
                <c:pt idx="31">
                  <c:v>-1670.2401837097111</c:v>
                </c:pt>
                <c:pt idx="32">
                  <c:v>-1684.158851907292</c:v>
                </c:pt>
                <c:pt idx="33">
                  <c:v>-1698.1935090065197</c:v>
                </c:pt>
                <c:pt idx="34">
                  <c:v>-1712.3451215815739</c:v>
                </c:pt>
                <c:pt idx="35">
                  <c:v>-1726.6146642614203</c:v>
                </c:pt>
                <c:pt idx="36">
                  <c:v>-1741.0031197969322</c:v>
                </c:pt>
                <c:pt idx="37">
                  <c:v>-1755.5114791285732</c:v>
                </c:pt>
                <c:pt idx="38">
                  <c:v>-1770.1407414546447</c:v>
                </c:pt>
                <c:pt idx="39">
                  <c:v>-1784.8919143001001</c:v>
                </c:pt>
                <c:pt idx="40">
                  <c:v>-1799.7660135859344</c:v>
                </c:pt>
                <c:pt idx="41">
                  <c:v>-1814.7640636991503</c:v>
                </c:pt>
                <c:pt idx="42">
                  <c:v>-1829.8870975633101</c:v>
                </c:pt>
                <c:pt idx="43">
                  <c:v>-1845.136156709671</c:v>
                </c:pt>
                <c:pt idx="44">
                  <c:v>-1860.5122913489183</c:v>
                </c:pt>
                <c:pt idx="45">
                  <c:v>-1876.0165604434924</c:v>
                </c:pt>
                <c:pt idx="46">
                  <c:v>-1891.6500317805217</c:v>
                </c:pt>
                <c:pt idx="47">
                  <c:v>-1907.4137820453593</c:v>
                </c:pt>
                <c:pt idx="48">
                  <c:v>-1923.3088968957372</c:v>
                </c:pt>
                <c:pt idx="49">
                  <c:v>-1939.3364710365352</c:v>
                </c:pt>
                <c:pt idx="50">
                  <c:v>-1955.4976082951728</c:v>
                </c:pt>
                <c:pt idx="51">
                  <c:v>-1971.7934216976328</c:v>
                </c:pt>
                <c:pt idx="52">
                  <c:v>-1988.2250335451129</c:v>
                </c:pt>
                <c:pt idx="53">
                  <c:v>-2004.7935754913221</c:v>
                </c:pt>
                <c:pt idx="54">
                  <c:v>-2021.5001886204166</c:v>
                </c:pt>
                <c:pt idx="55">
                  <c:v>-2038.3460235255868</c:v>
                </c:pt>
                <c:pt idx="56">
                  <c:v>-2055.3322403882999</c:v>
                </c:pt>
                <c:pt idx="57">
                  <c:v>-2072.4600090582026</c:v>
                </c:pt>
                <c:pt idx="58">
                  <c:v>-2089.7305091336875</c:v>
                </c:pt>
                <c:pt idx="59">
                  <c:v>-2107.144930043135</c:v>
                </c:pt>
              </c:numCache>
            </c:numRef>
          </c:val>
        </c:ser>
        <c:ser>
          <c:idx val="1"/>
          <c:order val="1"/>
          <c:tx>
            <c:strRef>
              <c:f>interest!$E$26</c:f>
              <c:strCache>
                <c:ptCount val="1"/>
                <c:pt idx="0">
                  <c:v>Процент</c:v>
                </c:pt>
              </c:strCache>
            </c:strRef>
          </c:tx>
          <c:invertIfNegative val="0"/>
          <c:val>
            <c:numRef>
              <c:f>interest!$E$27:$E$86</c:f>
              <c:numCache>
                <c:formatCode>"р."#,##0.00_);[Red]\("р."#,##0.00\)</c:formatCode>
                <c:ptCount val="60"/>
                <c:pt idx="0">
                  <c:v>-833.33333333333337</c:v>
                </c:pt>
                <c:pt idx="1">
                  <c:v>-822.57190718505422</c:v>
                </c:pt>
                <c:pt idx="2">
                  <c:v>-811.72080248553948</c:v>
                </c:pt>
                <c:pt idx="3">
                  <c:v>-800.77927191352876</c:v>
                </c:pt>
                <c:pt idx="4">
                  <c:v>-789.74656192008456</c:v>
                </c:pt>
                <c:pt idx="5">
                  <c:v>-778.62191267669505</c:v>
                </c:pt>
                <c:pt idx="6">
                  <c:v>-767.40455802294377</c:v>
                </c:pt>
                <c:pt idx="7">
                  <c:v>-756.09372541374489</c:v>
                </c:pt>
                <c:pt idx="8">
                  <c:v>-744.68863586613588</c:v>
                </c:pt>
                <c:pt idx="9">
                  <c:v>-733.18850390563023</c:v>
                </c:pt>
                <c:pt idx="10">
                  <c:v>-721.5925375121202</c:v>
                </c:pt>
                <c:pt idx="11">
                  <c:v>-709.89993806533084</c:v>
                </c:pt>
                <c:pt idx="12">
                  <c:v>-698.1099002898186</c:v>
                </c:pt>
                <c:pt idx="13">
                  <c:v>-686.2216121995101</c:v>
                </c:pt>
                <c:pt idx="14">
                  <c:v>-674.23425504178238</c:v>
                </c:pt>
                <c:pt idx="15">
                  <c:v>-662.14700324107366</c:v>
                </c:pt>
                <c:pt idx="16">
                  <c:v>-649.95902434202571</c:v>
                </c:pt>
                <c:pt idx="17">
                  <c:v>-637.66947895215242</c:v>
                </c:pt>
                <c:pt idx="18">
                  <c:v>-625.27752068403026</c:v>
                </c:pt>
                <c:pt idx="19">
                  <c:v>-612.78229609700679</c:v>
                </c:pt>
                <c:pt idx="20">
                  <c:v>-600.18294463842506</c:v>
                </c:pt>
                <c:pt idx="21">
                  <c:v>-587.47859858435504</c:v>
                </c:pt>
                <c:pt idx="22">
                  <c:v>-574.66838297983429</c:v>
                </c:pt>
                <c:pt idx="23">
                  <c:v>-561.75141557860934</c:v>
                </c:pt>
                <c:pt idx="24">
                  <c:v>-548.72680678237418</c:v>
                </c:pt>
                <c:pt idx="25">
                  <c:v>-535.59365957950376</c:v>
                </c:pt>
                <c:pt idx="26">
                  <c:v>-522.35106948327609</c:v>
                </c:pt>
                <c:pt idx="27">
                  <c:v>-508.99812446957981</c:v>
                </c:pt>
                <c:pt idx="28">
                  <c:v>-495.53390491410278</c:v>
                </c:pt>
                <c:pt idx="29">
                  <c:v>-481.95748352899682</c:v>
                </c:pt>
                <c:pt idx="30">
                  <c:v>-468.26792529901473</c:v>
                </c:pt>
                <c:pt idx="31">
                  <c:v>-454.46428741711634</c:v>
                </c:pt>
                <c:pt idx="32">
                  <c:v>-440.54561921953541</c:v>
                </c:pt>
                <c:pt idx="33">
                  <c:v>-426.51096212030802</c:v>
                </c:pt>
                <c:pt idx="34">
                  <c:v>-412.35934954525368</c:v>
                </c:pt>
                <c:pt idx="35">
                  <c:v>-398.08980686540724</c:v>
                </c:pt>
                <c:pt idx="36">
                  <c:v>-383.70135132989537</c:v>
                </c:pt>
                <c:pt idx="37">
                  <c:v>-369.19299199825429</c:v>
                </c:pt>
                <c:pt idx="38">
                  <c:v>-354.56372967218283</c:v>
                </c:pt>
                <c:pt idx="39">
                  <c:v>-339.81255682672747</c:v>
                </c:pt>
                <c:pt idx="40">
                  <c:v>-324.93845754089335</c:v>
                </c:pt>
                <c:pt idx="41">
                  <c:v>-309.94040742767714</c:v>
                </c:pt>
                <c:pt idx="42">
                  <c:v>-294.81737356351761</c:v>
                </c:pt>
                <c:pt idx="43">
                  <c:v>-279.56831441715667</c:v>
                </c:pt>
                <c:pt idx="44">
                  <c:v>-264.19217977790942</c:v>
                </c:pt>
                <c:pt idx="45">
                  <c:v>-248.6879106833351</c:v>
                </c:pt>
                <c:pt idx="46">
                  <c:v>-233.054439346306</c:v>
                </c:pt>
                <c:pt idx="47">
                  <c:v>-217.29068908146832</c:v>
                </c:pt>
                <c:pt idx="48">
                  <c:v>-201.39557423109034</c:v>
                </c:pt>
                <c:pt idx="49">
                  <c:v>-185.3680000902925</c:v>
                </c:pt>
                <c:pt idx="50">
                  <c:v>-169.20686283165475</c:v>
                </c:pt>
                <c:pt idx="51">
                  <c:v>-152.91104942919495</c:v>
                </c:pt>
                <c:pt idx="52">
                  <c:v>-136.47943758171468</c:v>
                </c:pt>
                <c:pt idx="53">
                  <c:v>-119.9108956355054</c:v>
                </c:pt>
                <c:pt idx="54">
                  <c:v>-103.20428250641106</c:v>
                </c:pt>
                <c:pt idx="55">
                  <c:v>-86.358447601240925</c:v>
                </c:pt>
                <c:pt idx="56">
                  <c:v>-69.372230738527691</c:v>
                </c:pt>
                <c:pt idx="57">
                  <c:v>-52.244462068625204</c:v>
                </c:pt>
                <c:pt idx="58">
                  <c:v>-34.973961993140179</c:v>
                </c:pt>
                <c:pt idx="59">
                  <c:v>-17.559541083692793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8209664"/>
        <c:axId val="128211584"/>
      </c:barChart>
      <c:catAx>
        <c:axId val="128209664"/>
        <c:scaling>
          <c:orientation val="minMax"/>
        </c:scaling>
        <c:delete val="0"/>
        <c:axPos val="b"/>
        <c:majorTickMark val="out"/>
        <c:minorTickMark val="none"/>
        <c:tickLblPos val="high"/>
        <c:crossAx val="12821158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28211584"/>
        <c:scaling>
          <c:orientation val="minMax"/>
        </c:scaling>
        <c:delete val="0"/>
        <c:axPos val="l"/>
        <c:majorGridlines/>
        <c:numFmt formatCode="&quot;р.&quot;#,##0.00_);[Red]\(&quot;р.&quot;#,##0.00\)" sourceLinked="1"/>
        <c:majorTickMark val="out"/>
        <c:minorTickMark val="none"/>
        <c:tickLblPos val="nextTo"/>
        <c:crossAx val="128209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1040468</xdr:colOff>
      <xdr:row>0</xdr:row>
      <xdr:rowOff>145675</xdr:rowOff>
    </xdr:from>
    <xdr:to>
      <xdr:col>11</xdr:col>
      <xdr:colOff>1053353</xdr:colOff>
      <xdr:row>21</xdr:row>
      <xdr:rowOff>145676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1" displayName="Табл1" ref="A26:K87" totalsRowCount="1" headerRowDxfId="13">
  <autoFilter ref="A26:K86"/>
  <tableColumns count="11">
    <tableColumn id="1" name="Период (№месяца)" totalsRowLabel="Итог" dataDxfId="12">
      <calculatedColumnFormula>IF(ROW()-ROW(Табл1[[#Headers],[Период (№месяца)]])&gt;$B$11,0,ROW()-ROW(Табл1[[#Headers],[Период (№месяца)]]))</calculatedColumnFormula>
    </tableColumn>
    <tableColumn id="2" name="Баланс на начало периода" dataDxfId="11">
      <calculatedColumnFormula>$B$5+SUM($D$26:D26)</calculatedColumnFormula>
    </tableColumn>
    <tableColumn id="4" name="Платеж" totalsRowFunction="sum" totalsRowDxfId="10">
      <calculatedColumnFormula>PMT($B$10,$B$11,$B$5,$B$6,$B$12)</calculatedColumnFormula>
    </tableColumn>
    <tableColumn id="6" name="Тело кредита" totalsRowFunction="sum" totalsRowDxfId="9">
      <calculatedColumnFormula>PPMT($B$10,A27,$B$11,$B$5,$B$6,$B$12)</calculatedColumnFormula>
    </tableColumn>
    <tableColumn id="3" name="Процент" totalsRowFunction="sum" totalsRowDxfId="8">
      <calculatedColumnFormula>IPMT($B$10,A27,$B$11,$B$5,$B$6,$B$12)</calculatedColumnFormula>
    </tableColumn>
    <tableColumn id="8" name="Всего погашено тело кредита" dataDxfId="7" totalsRowDxfId="6">
      <calculatedColumnFormula>SUM($D$27:D27)</calculatedColumnFormula>
    </tableColumn>
    <tableColumn id="5" name="Баланс на конец периода" dataDxfId="5" totalsRowDxfId="4">
      <calculatedColumnFormula>Табл1[[#This Row],[Баланс на начало периода]]+Табл1[[#This Row],[Тело кредита]]</calculatedColumnFormula>
    </tableColumn>
    <tableColumn id="9" name="Баланс на начало периода2" dataDxfId="3">
      <calculatedColumnFormula>PV($B$10,$B$11-Табл1[[#This Row],[Период (№месяца)]]+1,$B$13,$B$6,$B$12)/IF(Табл1[[#This Row],[Период (№месяца)]]=1,1,1+$B$12*$B$10)</calculatedColumnFormula>
    </tableColumn>
    <tableColumn id="7" name="Баланс на конец периода2" dataDxfId="2">
      <calculatedColumnFormula>-FV($B$10,Табл1[[#This Row],[Период (№месяца)]],$B$13,$B$5,$B$12)/(1+$B$12*$B$10)</calculatedColumnFormula>
    </tableColumn>
    <tableColumn id="10" name="Баланс на начало периода3" dataDxfId="1">
      <calculatedColumnFormula>-(($B$13*(1+$B$10*$B$12)/$B$10)*(1-(1+$B$10)^(Табл1[[#This Row],[Период (№месяца)]]-1-$B$11))+$B$6*((1+$B$10)^(Табл1[[#This Row],[Период (№месяца)]]-1-$B$11)))/IF(Табл1[[#This Row],[Период (№месяца)]]=1,1,1+$B$12*$B$10)</calculatedColumnFormula>
    </tableColumn>
    <tableColumn id="11" name="Баланс на конец периода3" dataDxfId="0">
      <calculatedColumnFormula>-($B$13*(1+$B$10*$B$12)*(1-(1+$B$10)^Табл1[[#This Row],[Период (№месяца)]])/$B$10-$B$5*((1+$B$10)^Табл1[[#This Row],[Период (№месяца)]]))/(1+$B$12*$B$10)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annuitet-raschet-v-ms-excel-vyplachennyh-procentov-za-period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87"/>
  <sheetViews>
    <sheetView tabSelected="1" zoomScale="85" zoomScaleNormal="85" workbookViewId="0">
      <selection activeCell="E16" sqref="E16"/>
    </sheetView>
  </sheetViews>
  <sheetFormatPr defaultRowHeight="15" x14ac:dyDescent="0.25"/>
  <cols>
    <col min="1" max="1" width="23.140625" customWidth="1"/>
    <col min="2" max="2" width="17.85546875" customWidth="1"/>
    <col min="3" max="3" width="13.42578125" customWidth="1"/>
    <col min="4" max="4" width="14.5703125" customWidth="1"/>
    <col min="5" max="5" width="13.42578125" bestFit="1" customWidth="1"/>
    <col min="6" max="6" width="16.85546875" customWidth="1"/>
    <col min="7" max="7" width="19.140625" customWidth="1"/>
    <col min="8" max="8" width="15.5703125" customWidth="1"/>
    <col min="9" max="9" width="18" customWidth="1"/>
    <col min="10" max="10" width="12.5703125" bestFit="1" customWidth="1"/>
    <col min="11" max="11" width="13.85546875" customWidth="1"/>
    <col min="12" max="12" width="7" customWidth="1"/>
    <col min="13" max="13" width="15.28515625" customWidth="1"/>
    <col min="14" max="14" width="9.42578125" customWidth="1"/>
    <col min="15" max="17" width="14.140625" customWidth="1"/>
    <col min="18" max="18" width="13.140625" customWidth="1"/>
    <col min="19" max="19" width="11.85546875" customWidth="1"/>
    <col min="20" max="20" width="13.42578125" customWidth="1"/>
    <col min="21" max="21" width="13.85546875" customWidth="1"/>
    <col min="22" max="22" width="13" customWidth="1"/>
    <col min="23" max="24" width="12.5703125" bestFit="1" customWidth="1"/>
  </cols>
  <sheetData>
    <row r="1" spans="1:8" ht="26.25" x14ac:dyDescent="0.25">
      <c r="A1" s="35" t="s">
        <v>58</v>
      </c>
      <c r="B1" s="35"/>
      <c r="C1" s="35"/>
      <c r="D1" s="35"/>
      <c r="E1" s="35"/>
      <c r="F1" s="35"/>
      <c r="G1" s="35"/>
    </row>
    <row r="2" spans="1:8" ht="15.75" x14ac:dyDescent="0.25">
      <c r="A2" s="38" t="s">
        <v>59</v>
      </c>
      <c r="B2" s="36"/>
      <c r="C2" s="36"/>
      <c r="D2" s="36"/>
      <c r="E2" s="36"/>
      <c r="F2" s="36"/>
      <c r="G2" s="36"/>
    </row>
    <row r="3" spans="1:8" ht="18.75" x14ac:dyDescent="0.25">
      <c r="A3" s="37" t="s">
        <v>60</v>
      </c>
      <c r="B3" s="37"/>
      <c r="C3" s="37"/>
      <c r="D3" s="37"/>
      <c r="E3" s="37"/>
      <c r="F3" s="37"/>
      <c r="G3" s="37"/>
    </row>
    <row r="4" spans="1:8" x14ac:dyDescent="0.25">
      <c r="A4" s="9" t="s">
        <v>17</v>
      </c>
      <c r="B4" s="9" t="s">
        <v>18</v>
      </c>
      <c r="C4" s="9" t="s">
        <v>38</v>
      </c>
      <c r="D4" s="9"/>
      <c r="E4" s="9" t="s">
        <v>19</v>
      </c>
      <c r="F4" s="7"/>
    </row>
    <row r="5" spans="1:8" x14ac:dyDescent="0.25">
      <c r="A5" s="5" t="s">
        <v>33</v>
      </c>
      <c r="B5" s="13">
        <v>100000</v>
      </c>
      <c r="C5" s="5" t="s">
        <v>7</v>
      </c>
      <c r="D5" s="5" t="s">
        <v>6</v>
      </c>
      <c r="E5" s="5" t="s">
        <v>5</v>
      </c>
      <c r="F5" s="7"/>
    </row>
    <row r="6" spans="1:8" x14ac:dyDescent="0.25">
      <c r="A6" s="5" t="s">
        <v>21</v>
      </c>
      <c r="B6" s="13">
        <v>0</v>
      </c>
      <c r="C6" s="5" t="s">
        <v>4</v>
      </c>
      <c r="D6" s="5" t="s">
        <v>3</v>
      </c>
      <c r="E6" s="5" t="s">
        <v>2</v>
      </c>
      <c r="F6" s="7"/>
    </row>
    <row r="7" spans="1:8" x14ac:dyDescent="0.25">
      <c r="A7" s="5" t="s">
        <v>32</v>
      </c>
      <c r="B7" s="19">
        <v>5</v>
      </c>
      <c r="C7" s="5"/>
      <c r="D7" s="5"/>
      <c r="E7" s="5"/>
      <c r="F7" s="7"/>
      <c r="H7" s="4"/>
    </row>
    <row r="8" spans="1:8" x14ac:dyDescent="0.25">
      <c r="A8" s="5" t="s">
        <v>15</v>
      </c>
      <c r="B8" s="6">
        <v>0.1</v>
      </c>
      <c r="C8" s="5"/>
      <c r="D8" s="5"/>
      <c r="E8" s="5"/>
      <c r="F8" s="7"/>
    </row>
    <row r="9" spans="1:8" x14ac:dyDescent="0.25">
      <c r="A9" s="5" t="s">
        <v>31</v>
      </c>
      <c r="B9" s="18">
        <v>12</v>
      </c>
      <c r="C9" s="5"/>
      <c r="D9" s="5"/>
      <c r="E9" s="5"/>
      <c r="F9" s="7"/>
    </row>
    <row r="10" spans="1:8" x14ac:dyDescent="0.25">
      <c r="A10" s="5" t="s">
        <v>29</v>
      </c>
      <c r="B10" s="17">
        <f>B8/B9</f>
        <v>8.3333333333333332E-3</v>
      </c>
      <c r="C10" s="5" t="s">
        <v>14</v>
      </c>
      <c r="D10" s="5" t="s">
        <v>13</v>
      </c>
      <c r="E10" s="5" t="s">
        <v>12</v>
      </c>
      <c r="F10" s="7"/>
      <c r="H10" s="4"/>
    </row>
    <row r="11" spans="1:8" x14ac:dyDescent="0.25">
      <c r="A11" s="5" t="s">
        <v>11</v>
      </c>
      <c r="B11" s="16">
        <f>B7*B9</f>
        <v>60</v>
      </c>
      <c r="C11" s="5" t="s">
        <v>10</v>
      </c>
      <c r="D11" s="5" t="s">
        <v>9</v>
      </c>
      <c r="E11" s="5" t="s">
        <v>8</v>
      </c>
      <c r="F11" s="7"/>
      <c r="H11" s="4"/>
    </row>
    <row r="12" spans="1:8" x14ac:dyDescent="0.25">
      <c r="A12" s="5" t="s">
        <v>16</v>
      </c>
      <c r="B12" s="8">
        <v>0</v>
      </c>
      <c r="C12" s="5" t="s">
        <v>1</v>
      </c>
      <c r="D12" s="5" t="s">
        <v>0</v>
      </c>
      <c r="E12" s="5" t="s">
        <v>30</v>
      </c>
      <c r="F12" s="7"/>
      <c r="H12" s="4"/>
    </row>
    <row r="13" spans="1:8" x14ac:dyDescent="0.25">
      <c r="A13" s="26" t="s">
        <v>20</v>
      </c>
      <c r="B13" s="11">
        <f>PMT(B10,B11,B5,B6,B12)</f>
        <v>-2124.7044711268277</v>
      </c>
      <c r="C13" s="25" t="s">
        <v>39</v>
      </c>
      <c r="D13" s="25" t="s">
        <v>40</v>
      </c>
      <c r="E13" s="5"/>
      <c r="F13" s="7"/>
    </row>
    <row r="14" spans="1:8" x14ac:dyDescent="0.25">
      <c r="A14" s="12"/>
      <c r="B14" s="10"/>
    </row>
    <row r="15" spans="1:8" x14ac:dyDescent="0.25">
      <c r="A15" s="28" t="s">
        <v>41</v>
      </c>
      <c r="B15" s="5">
        <v>2</v>
      </c>
    </row>
    <row r="16" spans="1:8" x14ac:dyDescent="0.25">
      <c r="A16" s="28" t="s">
        <v>42</v>
      </c>
      <c r="B16" s="5">
        <v>60</v>
      </c>
      <c r="C16" s="12"/>
      <c r="D16" s="12"/>
    </row>
    <row r="17" spans="1:21" x14ac:dyDescent="0.25">
      <c r="A17" s="26" t="s">
        <v>49</v>
      </c>
      <c r="B17" s="27">
        <f ca="1">SUMPRODUCT(IPMT($B$10,ROW(INDIRECT(B15&amp;":"&amp;B16)),$B$11,$B$5,$B$6,$B$12))</f>
        <v>-26648.934934276323</v>
      </c>
      <c r="C17" s="29" t="s">
        <v>48</v>
      </c>
      <c r="D17" s="12"/>
      <c r="G17" s="12"/>
      <c r="H17" s="24"/>
      <c r="I17" s="24"/>
    </row>
    <row r="18" spans="1:21" x14ac:dyDescent="0.25">
      <c r="A18" s="26" t="s">
        <v>49</v>
      </c>
      <c r="B18" s="27">
        <f>CUMIPMT(B10,B11,B5,B15,B16,B12)</f>
        <v>-26648.934934276331</v>
      </c>
      <c r="C18" s="29" t="s">
        <v>50</v>
      </c>
      <c r="D18" s="12"/>
      <c r="E18" s="21"/>
      <c r="G18" s="12"/>
      <c r="H18" s="24"/>
      <c r="I18" s="24"/>
    </row>
    <row r="19" spans="1:21" x14ac:dyDescent="0.25">
      <c r="D19" s="12"/>
      <c r="E19" s="21"/>
      <c r="F19" s="21"/>
      <c r="G19" s="12"/>
      <c r="H19" s="24"/>
      <c r="I19" s="24"/>
    </row>
    <row r="20" spans="1:21" x14ac:dyDescent="0.25">
      <c r="A20" s="1"/>
      <c r="B20" s="24"/>
      <c r="C20" s="29"/>
      <c r="F20" s="7"/>
      <c r="G20" s="12"/>
      <c r="H20" s="24"/>
      <c r="I20" s="24"/>
    </row>
    <row r="21" spans="1:21" x14ac:dyDescent="0.25">
      <c r="A21" s="1"/>
      <c r="B21" s="24"/>
      <c r="C21" s="29"/>
      <c r="D21" s="12"/>
      <c r="G21" s="12"/>
      <c r="H21" s="24"/>
      <c r="I21" s="24"/>
    </row>
    <row r="22" spans="1:21" x14ac:dyDescent="0.25">
      <c r="A22" s="1"/>
      <c r="B22" s="24"/>
      <c r="C22" s="29"/>
      <c r="D22" s="12"/>
      <c r="F22" s="4"/>
      <c r="G22" s="12"/>
      <c r="H22" s="24"/>
      <c r="I22" s="24"/>
    </row>
    <row r="23" spans="1:21" x14ac:dyDescent="0.25">
      <c r="A23" s="1"/>
      <c r="B23" s="24"/>
      <c r="C23" s="12"/>
      <c r="D23" s="12"/>
      <c r="F23" s="21"/>
      <c r="G23" s="12"/>
      <c r="H23" s="24"/>
      <c r="I23" s="24"/>
    </row>
    <row r="24" spans="1:21" x14ac:dyDescent="0.25">
      <c r="A24" s="1" t="s">
        <v>28</v>
      </c>
      <c r="C24" s="12"/>
      <c r="D24" s="12"/>
      <c r="M24" s="1" t="s">
        <v>47</v>
      </c>
    </row>
    <row r="25" spans="1:21" hidden="1" x14ac:dyDescent="0.25">
      <c r="A25" s="1"/>
      <c r="I25" s="22"/>
    </row>
    <row r="26" spans="1:21" ht="45" x14ac:dyDescent="0.25">
      <c r="A26" s="14" t="s">
        <v>22</v>
      </c>
      <c r="B26" s="14" t="s">
        <v>24</v>
      </c>
      <c r="C26" s="15" t="s">
        <v>23</v>
      </c>
      <c r="D26" s="15" t="s">
        <v>25</v>
      </c>
      <c r="E26" s="15" t="s">
        <v>26</v>
      </c>
      <c r="F26" s="14" t="s">
        <v>37</v>
      </c>
      <c r="G26" s="14" t="s">
        <v>35</v>
      </c>
      <c r="H26" s="14" t="s">
        <v>34</v>
      </c>
      <c r="I26" s="14" t="s">
        <v>36</v>
      </c>
      <c r="J26" s="14" t="s">
        <v>43</v>
      </c>
      <c r="K26" s="14" t="s">
        <v>44</v>
      </c>
      <c r="M26" s="9" t="s">
        <v>46</v>
      </c>
      <c r="N26" s="31" t="s">
        <v>51</v>
      </c>
      <c r="O26" s="31" t="s">
        <v>52</v>
      </c>
      <c r="P26" s="31" t="s">
        <v>53</v>
      </c>
      <c r="Q26" s="31" t="s">
        <v>54</v>
      </c>
      <c r="R26" s="9" t="s">
        <v>45</v>
      </c>
    </row>
    <row r="27" spans="1:21" x14ac:dyDescent="0.25">
      <c r="A27" s="3">
        <f>IF(ROW()-ROW(Табл1[[#Headers],[Период (№месяца)]])&gt;$B$11,0,ROW()-ROW(Табл1[[#Headers],[Период (№месяца)]]))</f>
        <v>1</v>
      </c>
      <c r="B27" s="4">
        <f>$B$5+SUM($D$26:D26)</f>
        <v>100000</v>
      </c>
      <c r="C27" s="4">
        <f t="shared" ref="C27:C58" si="0">PMT($B$10,$B$11,$B$5,$B$6,$B$12)</f>
        <v>-2124.7044711268277</v>
      </c>
      <c r="D27" s="4">
        <f t="shared" ref="D27:D58" si="1">PPMT($B$10,A27,$B$11,$B$5,$B$6,$B$12)</f>
        <v>-1291.3711377934942</v>
      </c>
      <c r="E27" s="4">
        <f t="shared" ref="E27:E58" si="2">IPMT($B$10,A27,$B$11,$B$5,$B$6,$B$12)</f>
        <v>-833.33333333333337</v>
      </c>
      <c r="F27" s="4">
        <f>SUM($D$27:D27)</f>
        <v>-1291.3711377934942</v>
      </c>
      <c r="G27" s="4">
        <f>Табл1[[#This Row],[Баланс на начало периода]]+Табл1[[#This Row],[Тело кредита]]</f>
        <v>98708.628862206504</v>
      </c>
      <c r="H27" s="20">
        <f>PV($B$10,$B$11-Табл1[[#This Row],[Период (№месяца)]]+1,$B$13,$B$6,$B$12)/IF(Табл1[[#This Row],[Период (№месяца)]]=1,1,1+$B$12*$B$10)</f>
        <v>99999.999999999665</v>
      </c>
      <c r="I27" s="4">
        <f>-FV($B$10,Табл1[[#This Row],[Период (№месяца)]],$B$13,$B$5,$B$12)/(1+$B$12*$B$10)</f>
        <v>98708.628862206504</v>
      </c>
      <c r="J2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99999.999999999665</v>
      </c>
      <c r="K27" s="4">
        <f>-($B$13*(1+$B$10*$B$12)*(1-(1+$B$10)^Табл1[[#This Row],[Период (№месяца)]])/$B$10-$B$5*((1+$B$10)^Табл1[[#This Row],[Период (№месяца)]]))/(1+$B$12*$B$10)</f>
        <v>98708.628862206504</v>
      </c>
      <c r="M27" s="5">
        <v>1</v>
      </c>
      <c r="N27" s="32">
        <f>IF(AND(M27=1,$B$12=1),0,$B$13*(1-(1+$B$10)^(M27-$B$11-1)))</f>
        <v>-833.33333333333053</v>
      </c>
      <c r="O27" s="30">
        <f>IF(AND(M27=1,$B$12=1),0,FV($B$10,M27-1,$B$13,$B$5,$B$12)*$B$10/(1+$B$12*$B$10))</f>
        <v>-833.33333333333337</v>
      </c>
      <c r="P27" s="30">
        <f>IF(AND(M27=1,$B$12=1),0,($B$13*((1+$B$10)^(1-M27)-1)-$B$5*$B$10/(1+$B$12*$B$10))*(1+$B$10)^(M27-1))</f>
        <v>-833.33333333333337</v>
      </c>
      <c r="Q27" s="30">
        <f>IF(AND(M27=1,$B$12),0,$B$13-(1+$B$10)^(M27-1-$B$11)*($B$13-$B$6*$B$10/(1+$B$12*$B$10)))</f>
        <v>-833.33333333333053</v>
      </c>
      <c r="R27" s="30">
        <f>Табл1[[#This Row],[Процент]]-O27</f>
        <v>0</v>
      </c>
      <c r="S27" s="21"/>
      <c r="T27" s="21"/>
      <c r="U27" s="21"/>
    </row>
    <row r="28" spans="1:21" x14ac:dyDescent="0.25">
      <c r="A28" s="3">
        <f>IF(ROW()-ROW(Табл1[[#Headers],[Период (№месяца)]])&gt;$B$11,0,ROW()-ROW(Табл1[[#Headers],[Период (№месяца)]]))</f>
        <v>2</v>
      </c>
      <c r="B28" s="4">
        <f>$B$5+SUM($D$26:D27)</f>
        <v>98708.628862206504</v>
      </c>
      <c r="C28" s="4">
        <f t="shared" si="0"/>
        <v>-2124.7044711268277</v>
      </c>
      <c r="D28" s="4">
        <f t="shared" si="1"/>
        <v>-1302.1325639417735</v>
      </c>
      <c r="E28" s="4">
        <f t="shared" si="2"/>
        <v>-822.57190718505422</v>
      </c>
      <c r="F28" s="4">
        <f>SUM($D$27:D28)</f>
        <v>-2593.5037017352679</v>
      </c>
      <c r="G28" s="4">
        <f>Табл1[[#This Row],[Баланс на начало периода]]+Табл1[[#This Row],[Тело кредита]]</f>
        <v>97406.496298264727</v>
      </c>
      <c r="H28" s="20">
        <f>PV($B$10,$B$11-Табл1[[#This Row],[Период (№месяца)]]+1,$B$13,$B$6,$B$12)/IF(Табл1[[#This Row],[Период (№месяца)]]=1,1,1+$B$12*$B$10)</f>
        <v>98708.628862206169</v>
      </c>
      <c r="I28" s="4">
        <f>-FV($B$10,Табл1[[#This Row],[Период (№месяца)]],$B$13,$B$5,$B$12)/(1+$B$12*$B$10)</f>
        <v>97406.496298264741</v>
      </c>
      <c r="J2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98708.628862206169</v>
      </c>
      <c r="K28" s="4">
        <f>-($B$13*(1+$B$10*$B$12)*(1-(1+$B$10)^Табл1[[#This Row],[Период (№месяца)]])/$B$10-$B$5*((1+$B$10)^Табл1[[#This Row],[Период (№месяца)]]))/(1+$B$12*$B$10)</f>
        <v>97406.496298264741</v>
      </c>
      <c r="M28" s="5">
        <v>2</v>
      </c>
      <c r="N28" s="32">
        <f t="shared" ref="N28:N86" si="3">IF(AND(M28=1,$B$12=1),0,$B$13*(1-(1+$B$10)^(M28-$B$11-1)))</f>
        <v>-822.57190718505149</v>
      </c>
      <c r="O28" s="30">
        <f t="shared" ref="O28:O86" si="4">IF(AND(M28=1,$B$12=1),0,FV($B$10,M28-1,$B$13,$B$5,$B$12)*$B$10/(1+$B$12*$B$10))</f>
        <v>-822.57190718505422</v>
      </c>
      <c r="P28" s="30">
        <f t="shared" ref="P28:P86" si="5">IF(AND(M28=1,$B$12=1),0,($B$13*((1+$B$10)^(1-M28)-1)-$B$5*$B$10/(1+$B$12*$B$10))*(1+$B$10)^(M28-1))</f>
        <v>-822.57190718505433</v>
      </c>
      <c r="Q28" s="30">
        <f t="shared" ref="Q28:Q86" si="6">IF(AND(M28=1,$B$12),0,$B$13-(1+$B$10)^(M28-1-$B$11)*($B$13-$B$6*$B$10/(1+$B$12*$B$10)))</f>
        <v>-822.57190718505149</v>
      </c>
      <c r="R28" s="30">
        <f>Табл1[[#This Row],[Процент]]-O28</f>
        <v>0</v>
      </c>
      <c r="S28" s="21"/>
      <c r="T28" s="21"/>
      <c r="U28" s="21"/>
    </row>
    <row r="29" spans="1:21" x14ac:dyDescent="0.25">
      <c r="A29" s="3">
        <f>IF(ROW()-ROW(Табл1[[#Headers],[Период (№месяца)]])&gt;$B$11,0,ROW()-ROW(Табл1[[#Headers],[Период (№месяца)]]))</f>
        <v>3</v>
      </c>
      <c r="B29" s="4">
        <f>$B$5+SUM($D$26:D28)</f>
        <v>97406.496298264727</v>
      </c>
      <c r="C29" s="4">
        <f t="shared" si="0"/>
        <v>-2124.7044711268277</v>
      </c>
      <c r="D29" s="4">
        <f t="shared" si="1"/>
        <v>-1312.9836686412882</v>
      </c>
      <c r="E29" s="4">
        <f t="shared" si="2"/>
        <v>-811.72080248553948</v>
      </c>
      <c r="F29" s="4">
        <f>SUM($D$27:D29)</f>
        <v>-3906.4873703765561</v>
      </c>
      <c r="G29" s="4">
        <f>Табл1[[#This Row],[Баланс на начало периода]]+Табл1[[#This Row],[Тело кредита]]</f>
        <v>96093.512629623438</v>
      </c>
      <c r="H29" s="20">
        <f>PV($B$10,$B$11-Табл1[[#This Row],[Период (№месяца)]]+1,$B$13,$B$6,$B$12)/IF(Табл1[[#This Row],[Период (№месяца)]]=1,1,1+$B$12*$B$10)</f>
        <v>97406.496298264392</v>
      </c>
      <c r="I29" s="4">
        <f>-FV($B$10,Табл1[[#This Row],[Период (№месяца)]],$B$13,$B$5,$B$12)/(1+$B$12*$B$10)</f>
        <v>96093.512629623467</v>
      </c>
      <c r="J2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97406.496298264377</v>
      </c>
      <c r="K29" s="4">
        <f>-($B$13*(1+$B$10*$B$12)*(1-(1+$B$10)^Табл1[[#This Row],[Период (№месяца)]])/$B$10-$B$5*((1+$B$10)^Табл1[[#This Row],[Период (№месяца)]]))/(1+$B$12*$B$10)</f>
        <v>96093.512629623467</v>
      </c>
      <c r="M29" s="5">
        <v>3</v>
      </c>
      <c r="N29" s="32">
        <f t="shared" si="3"/>
        <v>-811.72080248553652</v>
      </c>
      <c r="O29" s="30">
        <f t="shared" si="4"/>
        <v>-811.72080248553948</v>
      </c>
      <c r="P29" s="30">
        <f t="shared" si="5"/>
        <v>-811.72080248553948</v>
      </c>
      <c r="Q29" s="30">
        <f t="shared" si="6"/>
        <v>-811.72080248553652</v>
      </c>
      <c r="R29" s="30">
        <f>Табл1[[#This Row],[Процент]]-O29</f>
        <v>0</v>
      </c>
      <c r="S29" s="21"/>
      <c r="T29" s="21"/>
      <c r="U29" s="21"/>
    </row>
    <row r="30" spans="1:21" x14ac:dyDescent="0.25">
      <c r="A30" s="3">
        <f>IF(ROW()-ROW(Табл1[[#Headers],[Период (№месяца)]])&gt;$B$11,0,ROW()-ROW(Табл1[[#Headers],[Период (№месяца)]]))</f>
        <v>4</v>
      </c>
      <c r="B30" s="4">
        <f>$B$5+SUM($D$26:D29)</f>
        <v>96093.512629623438</v>
      </c>
      <c r="C30" s="4">
        <f t="shared" si="0"/>
        <v>-2124.7044711268277</v>
      </c>
      <c r="D30" s="4">
        <f t="shared" si="1"/>
        <v>-1323.9251992132988</v>
      </c>
      <c r="E30" s="4">
        <f t="shared" si="2"/>
        <v>-800.77927191352876</v>
      </c>
      <c r="F30" s="4">
        <f>SUM($D$27:D30)</f>
        <v>-5230.4125695898547</v>
      </c>
      <c r="G30" s="4">
        <f>Табл1[[#This Row],[Баланс на начало периода]]+Табл1[[#This Row],[Тело кредита]]</f>
        <v>94769.587430410145</v>
      </c>
      <c r="H30" s="20">
        <f>PV($B$10,$B$11-Табл1[[#This Row],[Период (№месяца)]]+1,$B$13,$B$6,$B$12)/IF(Табл1[[#This Row],[Период (№месяца)]]=1,1,1+$B$12*$B$10)</f>
        <v>96093.512629623103</v>
      </c>
      <c r="I30" s="4">
        <f>-FV($B$10,Табл1[[#This Row],[Период (№месяца)]],$B$13,$B$5,$B$12)/(1+$B$12*$B$10)</f>
        <v>94769.587430410174</v>
      </c>
      <c r="J3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96093.512629623088</v>
      </c>
      <c r="K30" s="4">
        <f>-($B$13*(1+$B$10*$B$12)*(1-(1+$B$10)^Табл1[[#This Row],[Период (№месяца)]])/$B$10-$B$5*((1+$B$10)^Табл1[[#This Row],[Период (№месяца)]]))/(1+$B$12*$B$10)</f>
        <v>94769.587430410174</v>
      </c>
      <c r="M30" s="5">
        <v>4</v>
      </c>
      <c r="N30" s="32">
        <f t="shared" si="3"/>
        <v>-800.7792719135258</v>
      </c>
      <c r="O30" s="30">
        <f t="shared" si="4"/>
        <v>-800.77927191352887</v>
      </c>
      <c r="P30" s="30">
        <f t="shared" si="5"/>
        <v>-800.77927191352899</v>
      </c>
      <c r="Q30" s="30">
        <f t="shared" si="6"/>
        <v>-800.77927191352569</v>
      </c>
      <c r="R30" s="30">
        <f>Табл1[[#This Row],[Процент]]-O30</f>
        <v>0</v>
      </c>
      <c r="S30" s="21"/>
      <c r="T30" s="21"/>
      <c r="U30" s="21"/>
    </row>
    <row r="31" spans="1:21" x14ac:dyDescent="0.25">
      <c r="A31" s="3">
        <f>IF(ROW()-ROW(Табл1[[#Headers],[Период (№месяца)]])&gt;$B$11,0,ROW()-ROW(Табл1[[#Headers],[Период (№месяца)]]))</f>
        <v>5</v>
      </c>
      <c r="B31" s="4">
        <f>$B$5+SUM($D$26:D30)</f>
        <v>94769.587430410145</v>
      </c>
      <c r="C31" s="4">
        <f t="shared" si="0"/>
        <v>-2124.7044711268277</v>
      </c>
      <c r="D31" s="4">
        <f t="shared" si="1"/>
        <v>-1334.9579092067431</v>
      </c>
      <c r="E31" s="4">
        <f t="shared" si="2"/>
        <v>-789.74656192008456</v>
      </c>
      <c r="F31" s="4">
        <f>SUM($D$27:D31)</f>
        <v>-6565.370478796598</v>
      </c>
      <c r="G31" s="4">
        <f>Табл1[[#This Row],[Баланс на начало периода]]+Табл1[[#This Row],[Тело кредита]]</f>
        <v>93434.629521203402</v>
      </c>
      <c r="H31" s="20">
        <f>PV($B$10,$B$11-Табл1[[#This Row],[Период (№месяца)]]+1,$B$13,$B$6,$B$12)/IF(Табл1[[#This Row],[Период (№месяца)]]=1,1,1+$B$12*$B$10)</f>
        <v>94769.587430409811</v>
      </c>
      <c r="I31" s="4">
        <f>-FV($B$10,Табл1[[#This Row],[Период (№месяца)]],$B$13,$B$5,$B$12)/(1+$B$12*$B$10)</f>
        <v>93434.62952120346</v>
      </c>
      <c r="J3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94769.587430409825</v>
      </c>
      <c r="K31" s="4">
        <f>-($B$13*(1+$B$10*$B$12)*(1-(1+$B$10)^Табл1[[#This Row],[Период (№месяца)]])/$B$10-$B$5*((1+$B$10)^Табл1[[#This Row],[Период (№месяца)]]))/(1+$B$12*$B$10)</f>
        <v>93434.629521203446</v>
      </c>
      <c r="M31" s="5">
        <v>5</v>
      </c>
      <c r="N31" s="32">
        <f t="shared" si="3"/>
        <v>-789.74656192008183</v>
      </c>
      <c r="O31" s="30">
        <f t="shared" si="4"/>
        <v>-789.74656192008479</v>
      </c>
      <c r="P31" s="30">
        <f t="shared" si="5"/>
        <v>-789.7465619200849</v>
      </c>
      <c r="Q31" s="30">
        <f t="shared" si="6"/>
        <v>-789.74656192008183</v>
      </c>
      <c r="R31" s="30">
        <f>Табл1[[#This Row],[Процент]]-O31</f>
        <v>0</v>
      </c>
      <c r="S31" s="21"/>
      <c r="T31" s="21"/>
      <c r="U31" s="21"/>
    </row>
    <row r="32" spans="1:21" x14ac:dyDescent="0.25">
      <c r="A32" s="3">
        <f>IF(ROW()-ROW(Табл1[[#Headers],[Период (№месяца)]])&gt;$B$11,0,ROW()-ROW(Табл1[[#Headers],[Период (№месяца)]]))</f>
        <v>6</v>
      </c>
      <c r="B32" s="4">
        <f>$B$5+SUM($D$26:D31)</f>
        <v>93434.629521203402</v>
      </c>
      <c r="C32" s="4">
        <f t="shared" si="0"/>
        <v>-2124.7044711268277</v>
      </c>
      <c r="D32" s="4">
        <f t="shared" si="1"/>
        <v>-1346.0825584501324</v>
      </c>
      <c r="E32" s="4">
        <f t="shared" si="2"/>
        <v>-778.62191267669505</v>
      </c>
      <c r="F32" s="4">
        <f>SUM($D$27:D32)</f>
        <v>-7911.4530372467307</v>
      </c>
      <c r="G32" s="4">
        <f>Табл1[[#This Row],[Баланс на начало периода]]+Табл1[[#This Row],[Тело кредита]]</f>
        <v>92088.546962753273</v>
      </c>
      <c r="H32" s="20">
        <f>PV($B$10,$B$11-Табл1[[#This Row],[Период (№месяца)]]+1,$B$13,$B$6,$B$12)/IF(Табл1[[#This Row],[Период (№месяца)]]=1,1,1+$B$12*$B$10)</f>
        <v>93434.629521203067</v>
      </c>
      <c r="I32" s="4">
        <f>-FV($B$10,Табл1[[#This Row],[Период (№месяца)]],$B$13,$B$5,$B$12)/(1+$B$12*$B$10)</f>
        <v>92088.546962753302</v>
      </c>
      <c r="J3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93434.629521203082</v>
      </c>
      <c r="K32" s="4">
        <f>-($B$13*(1+$B$10*$B$12)*(1-(1+$B$10)^Табл1[[#This Row],[Период (№месяца)]])/$B$10-$B$5*((1+$B$10)^Табл1[[#This Row],[Период (№месяца)]]))/(1+$B$12*$B$10)</f>
        <v>92088.546962753288</v>
      </c>
      <c r="M32" s="5">
        <v>6</v>
      </c>
      <c r="N32" s="32">
        <f t="shared" si="3"/>
        <v>-778.62191267669232</v>
      </c>
      <c r="O32" s="30">
        <f t="shared" si="4"/>
        <v>-778.6219126766955</v>
      </c>
      <c r="P32" s="30">
        <f t="shared" si="5"/>
        <v>-778.62191267669539</v>
      </c>
      <c r="Q32" s="30">
        <f t="shared" si="6"/>
        <v>-778.62191267669232</v>
      </c>
      <c r="R32" s="30">
        <f>Табл1[[#This Row],[Процент]]-O32</f>
        <v>0</v>
      </c>
      <c r="S32" s="21"/>
      <c r="T32" s="21"/>
      <c r="U32" s="21"/>
    </row>
    <row r="33" spans="1:27" x14ac:dyDescent="0.25">
      <c r="A33" s="3">
        <f>IF(ROW()-ROW(Табл1[[#Headers],[Период (№месяца)]])&gt;$B$11,0,ROW()-ROW(Табл1[[#Headers],[Период (№месяца)]]))</f>
        <v>7</v>
      </c>
      <c r="B33" s="4">
        <f>$B$5+SUM($D$26:D32)</f>
        <v>92088.546962753273</v>
      </c>
      <c r="C33" s="4">
        <f t="shared" si="0"/>
        <v>-2124.7044711268277</v>
      </c>
      <c r="D33" s="4">
        <f t="shared" si="1"/>
        <v>-1357.2999131038837</v>
      </c>
      <c r="E33" s="4">
        <f t="shared" si="2"/>
        <v>-767.40455802294377</v>
      </c>
      <c r="F33" s="4">
        <f>SUM($D$27:D33)</f>
        <v>-9268.7529503506139</v>
      </c>
      <c r="G33" s="4">
        <f>Табл1[[#This Row],[Баланс на начало периода]]+Табл1[[#This Row],[Тело кредита]]</f>
        <v>90731.247049649392</v>
      </c>
      <c r="H33" s="20">
        <f>PV($B$10,$B$11-Табл1[[#This Row],[Период (№месяца)]]+1,$B$13,$B$6,$B$12)/IF(Табл1[[#This Row],[Период (№месяца)]]=1,1,1+$B$12*$B$10)</f>
        <v>92088.546962752982</v>
      </c>
      <c r="I33" s="4">
        <f>-FV($B$10,Табл1[[#This Row],[Период (№месяца)]],$B$13,$B$5,$B$12)/(1+$B$12*$B$10)</f>
        <v>90731.24704964945</v>
      </c>
      <c r="J3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92088.546962752967</v>
      </c>
      <c r="K33" s="4">
        <f>-($B$13*(1+$B$10*$B$12)*(1-(1+$B$10)^Табл1[[#This Row],[Период (№месяца)]])/$B$10-$B$5*((1+$B$10)^Табл1[[#This Row],[Период (№месяца)]]))/(1+$B$12*$B$10)</f>
        <v>90731.24704964945</v>
      </c>
      <c r="M33" s="5">
        <v>7</v>
      </c>
      <c r="N33" s="32">
        <f t="shared" si="3"/>
        <v>-767.40455802294139</v>
      </c>
      <c r="O33" s="30">
        <f t="shared" si="4"/>
        <v>-767.40455802294423</v>
      </c>
      <c r="P33" s="30">
        <f t="shared" si="5"/>
        <v>-767.40455802294434</v>
      </c>
      <c r="Q33" s="30">
        <f t="shared" si="6"/>
        <v>-767.4045580229415</v>
      </c>
      <c r="R33" s="30">
        <f>Табл1[[#This Row],[Процент]]-O33</f>
        <v>0</v>
      </c>
      <c r="S33" s="21"/>
      <c r="T33" s="21"/>
      <c r="U33" s="21"/>
    </row>
    <row r="34" spans="1:27" x14ac:dyDescent="0.25">
      <c r="A34" s="3">
        <f>IF(ROW()-ROW(Табл1[[#Headers],[Период (№месяца)]])&gt;$B$11,0,ROW()-ROW(Табл1[[#Headers],[Период (№месяца)]]))</f>
        <v>8</v>
      </c>
      <c r="B34" s="4">
        <f>$B$5+SUM($D$26:D33)</f>
        <v>90731.247049649392</v>
      </c>
      <c r="C34" s="4">
        <f t="shared" si="0"/>
        <v>-2124.7044711268277</v>
      </c>
      <c r="D34" s="4">
        <f t="shared" si="1"/>
        <v>-1368.6107457130827</v>
      </c>
      <c r="E34" s="4">
        <f t="shared" si="2"/>
        <v>-756.09372541374489</v>
      </c>
      <c r="F34" s="4">
        <f>SUM($D$27:D34)</f>
        <v>-10637.363696063696</v>
      </c>
      <c r="G34" s="4">
        <f>Табл1[[#This Row],[Баланс на начало периода]]+Табл1[[#This Row],[Тело кредита]]</f>
        <v>89362.636303936306</v>
      </c>
      <c r="H34" s="20">
        <f>PV($B$10,$B$11-Табл1[[#This Row],[Период (№месяца)]]+1,$B$13,$B$6,$B$12)/IF(Табл1[[#This Row],[Период (№месяца)]]=1,1,1+$B$12*$B$10)</f>
        <v>90731.247049649057</v>
      </c>
      <c r="I34" s="4">
        <f>-FV($B$10,Табл1[[#This Row],[Период (№месяца)]],$B$13,$B$5,$B$12)/(1+$B$12*$B$10)</f>
        <v>89362.63630393635</v>
      </c>
      <c r="J3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90731.247049649057</v>
      </c>
      <c r="K34" s="4">
        <f>-($B$13*(1+$B$10*$B$12)*(1-(1+$B$10)^Табл1[[#This Row],[Период (№месяца)]])/$B$10-$B$5*((1+$B$10)^Табл1[[#This Row],[Период (№месяца)]]))/(1+$B$12*$B$10)</f>
        <v>89362.63630393635</v>
      </c>
      <c r="M34" s="5">
        <v>8</v>
      </c>
      <c r="N34" s="32">
        <f t="shared" si="3"/>
        <v>-756.09372541374216</v>
      </c>
      <c r="O34" s="30">
        <f t="shared" si="4"/>
        <v>-756.09372541374546</v>
      </c>
      <c r="P34" s="30">
        <f t="shared" si="5"/>
        <v>-756.09372541374535</v>
      </c>
      <c r="Q34" s="30">
        <f t="shared" si="6"/>
        <v>-756.09372541374205</v>
      </c>
      <c r="R34" s="30">
        <f>Табл1[[#This Row],[Процент]]-O34</f>
        <v>0</v>
      </c>
      <c r="S34" s="21"/>
      <c r="T34" s="21"/>
      <c r="U34" s="21"/>
    </row>
    <row r="35" spans="1:27" x14ac:dyDescent="0.25">
      <c r="A35" s="3">
        <f>IF(ROW()-ROW(Табл1[[#Headers],[Период (№месяца)]])&gt;$B$11,0,ROW()-ROW(Табл1[[#Headers],[Период (№месяца)]]))</f>
        <v>9</v>
      </c>
      <c r="B35" s="4">
        <f>$B$5+SUM($D$26:D34)</f>
        <v>89362.636303936306</v>
      </c>
      <c r="C35" s="4">
        <f t="shared" si="0"/>
        <v>-2124.7044711268277</v>
      </c>
      <c r="D35" s="4">
        <f t="shared" si="1"/>
        <v>-1380.0158352606916</v>
      </c>
      <c r="E35" s="4">
        <f t="shared" si="2"/>
        <v>-744.68863586613588</v>
      </c>
      <c r="F35" s="4">
        <f>SUM($D$27:D35)</f>
        <v>-12017.379531324388</v>
      </c>
      <c r="G35" s="4">
        <f>Табл1[[#This Row],[Баланс на начало периода]]+Табл1[[#This Row],[Тело кредита]]</f>
        <v>87982.62046867561</v>
      </c>
      <c r="H35" s="20">
        <f>PV($B$10,$B$11-Табл1[[#This Row],[Период (№месяца)]]+1,$B$13,$B$6,$B$12)/IF(Табл1[[#This Row],[Период (№месяца)]]=1,1,1+$B$12*$B$10)</f>
        <v>89362.636303935971</v>
      </c>
      <c r="I35" s="4">
        <f>-FV($B$10,Табл1[[#This Row],[Период (№месяца)]],$B$13,$B$5,$B$12)/(1+$B$12*$B$10)</f>
        <v>87982.620468675683</v>
      </c>
      <c r="J3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89362.636303935986</v>
      </c>
      <c r="K35" s="4">
        <f>-($B$13*(1+$B$10*$B$12)*(1-(1+$B$10)^Табл1[[#This Row],[Период (№месяца)]])/$B$10-$B$5*((1+$B$10)^Табл1[[#This Row],[Период (№месяца)]]))/(1+$B$12*$B$10)</f>
        <v>87982.620468675683</v>
      </c>
      <c r="M35" s="5">
        <v>9</v>
      </c>
      <c r="N35" s="32">
        <f t="shared" si="3"/>
        <v>-744.68863586613327</v>
      </c>
      <c r="O35" s="30">
        <f t="shared" si="4"/>
        <v>-744.68863586613622</v>
      </c>
      <c r="P35" s="30">
        <f t="shared" si="5"/>
        <v>-744.68863586613645</v>
      </c>
      <c r="Q35" s="30">
        <f t="shared" si="6"/>
        <v>-744.68863586613315</v>
      </c>
      <c r="R35" s="30">
        <f>Табл1[[#This Row],[Процент]]-O35</f>
        <v>0</v>
      </c>
      <c r="S35" s="21"/>
      <c r="T35" s="21"/>
      <c r="U35" s="21"/>
    </row>
    <row r="36" spans="1:27" x14ac:dyDescent="0.25">
      <c r="A36" s="3">
        <f>IF(ROW()-ROW(Табл1[[#Headers],[Период (№месяца)]])&gt;$B$11,0,ROW()-ROW(Табл1[[#Headers],[Период (№месяца)]]))</f>
        <v>10</v>
      </c>
      <c r="B36" s="4">
        <f>$B$5+SUM($D$26:D35)</f>
        <v>87982.62046867561</v>
      </c>
      <c r="C36" s="4">
        <f t="shared" si="0"/>
        <v>-2124.7044711268277</v>
      </c>
      <c r="D36" s="4">
        <f t="shared" si="1"/>
        <v>-1391.5159672211973</v>
      </c>
      <c r="E36" s="4">
        <f t="shared" si="2"/>
        <v>-733.18850390563023</v>
      </c>
      <c r="F36" s="4">
        <f>SUM($D$27:D36)</f>
        <v>-13408.895498545586</v>
      </c>
      <c r="G36" s="4">
        <f>Табл1[[#This Row],[Баланс на начало периода]]+Табл1[[#This Row],[Тело кредита]]</f>
        <v>86591.104501454407</v>
      </c>
      <c r="H36" s="20">
        <f>PV($B$10,$B$11-Табл1[[#This Row],[Период (№месяца)]]+1,$B$13,$B$6,$B$12)/IF(Табл1[[#This Row],[Период (№месяца)]]=1,1,1+$B$12*$B$10)</f>
        <v>87982.620468675334</v>
      </c>
      <c r="I36" s="4">
        <f>-FV($B$10,Табл1[[#This Row],[Период (№месяца)]],$B$13,$B$5,$B$12)/(1+$B$12*$B$10)</f>
        <v>86591.10450145448</v>
      </c>
      <c r="J3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87982.620468675319</v>
      </c>
      <c r="K36" s="4">
        <f>-($B$13*(1+$B$10*$B$12)*(1-(1+$B$10)^Табл1[[#This Row],[Период (№месяца)]])/$B$10-$B$5*((1+$B$10)^Табл1[[#This Row],[Период (№месяца)]]))/(1+$B$12*$B$10)</f>
        <v>86591.10450145448</v>
      </c>
      <c r="M36" s="5">
        <v>10</v>
      </c>
      <c r="N36" s="32">
        <f t="shared" si="3"/>
        <v>-733.18850390562761</v>
      </c>
      <c r="O36" s="30">
        <f t="shared" si="4"/>
        <v>-733.18850390563068</v>
      </c>
      <c r="P36" s="30">
        <f t="shared" si="5"/>
        <v>-733.18850390563068</v>
      </c>
      <c r="Q36" s="30">
        <f t="shared" si="6"/>
        <v>-733.18850390562761</v>
      </c>
      <c r="R36" s="30">
        <f>Табл1[[#This Row],[Процент]]-O36</f>
        <v>0</v>
      </c>
      <c r="S36" s="21"/>
      <c r="T36" s="21"/>
    </row>
    <row r="37" spans="1:27" x14ac:dyDescent="0.25">
      <c r="A37" s="3">
        <f>IF(ROW()-ROW(Табл1[[#Headers],[Период (№месяца)]])&gt;$B$11,0,ROW()-ROW(Табл1[[#Headers],[Период (№месяца)]]))</f>
        <v>11</v>
      </c>
      <c r="B37" s="4">
        <f>$B$5+SUM($D$26:D36)</f>
        <v>86591.104501454422</v>
      </c>
      <c r="C37" s="4">
        <f t="shared" si="0"/>
        <v>-2124.7044711268277</v>
      </c>
      <c r="D37" s="4">
        <f t="shared" si="1"/>
        <v>-1403.1119336147074</v>
      </c>
      <c r="E37" s="4">
        <f t="shared" si="2"/>
        <v>-721.5925375121202</v>
      </c>
      <c r="F37" s="4">
        <f>SUM($D$27:D37)</f>
        <v>-14812.007432160293</v>
      </c>
      <c r="G37" s="4">
        <f>Табл1[[#This Row],[Баланс на начало периода]]+Табл1[[#This Row],[Тело кредита]]</f>
        <v>85187.992567839712</v>
      </c>
      <c r="H37" s="20">
        <f>PV($B$10,$B$11-Табл1[[#This Row],[Период (№месяца)]]+1,$B$13,$B$6,$B$12)/IF(Табл1[[#This Row],[Период (№месяца)]]=1,1,1+$B$12*$B$10)</f>
        <v>86591.104501454131</v>
      </c>
      <c r="I37" s="4">
        <f>-FV($B$10,Табл1[[#This Row],[Период (№месяца)]],$B$13,$B$5,$B$12)/(1+$B$12*$B$10)</f>
        <v>85187.992567839785</v>
      </c>
      <c r="J3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86591.104501454116</v>
      </c>
      <c r="K37" s="4">
        <f>-($B$13*(1+$B$10*$B$12)*(1-(1+$B$10)^Табл1[[#This Row],[Период (№месяца)]])/$B$10-$B$5*((1+$B$10)^Табл1[[#This Row],[Период (№месяца)]]))/(1+$B$12*$B$10)</f>
        <v>85187.992567839785</v>
      </c>
      <c r="M37" s="5">
        <v>11</v>
      </c>
      <c r="N37" s="32">
        <f t="shared" si="3"/>
        <v>-721.5925375121177</v>
      </c>
      <c r="O37" s="30">
        <f t="shared" si="4"/>
        <v>-721.59253751212066</v>
      </c>
      <c r="P37" s="30">
        <f t="shared" si="5"/>
        <v>-721.59253751212054</v>
      </c>
      <c r="Q37" s="30">
        <f t="shared" si="6"/>
        <v>-721.59253751211759</v>
      </c>
      <c r="R37" s="30">
        <f>Табл1[[#This Row],[Процент]]-O37</f>
        <v>0</v>
      </c>
      <c r="S37" s="21"/>
      <c r="T37" s="21"/>
    </row>
    <row r="38" spans="1:27" x14ac:dyDescent="0.25">
      <c r="A38" s="3">
        <f>IF(ROW()-ROW(Табл1[[#Headers],[Период (№месяца)]])&gt;$B$11,0,ROW()-ROW(Табл1[[#Headers],[Период (№месяца)]]))</f>
        <v>12</v>
      </c>
      <c r="B38" s="4">
        <f>$B$5+SUM($D$26:D37)</f>
        <v>85187.992567839712</v>
      </c>
      <c r="C38" s="4">
        <f t="shared" si="0"/>
        <v>-2124.7044711268277</v>
      </c>
      <c r="D38" s="4">
        <f t="shared" si="1"/>
        <v>-1414.8045330614966</v>
      </c>
      <c r="E38" s="4">
        <f t="shared" si="2"/>
        <v>-709.89993806533084</v>
      </c>
      <c r="F38" s="4">
        <f>SUM($D$27:D38)</f>
        <v>-16226.81196522179</v>
      </c>
      <c r="G38" s="4">
        <f>Табл1[[#This Row],[Баланс на начало периода]]+Табл1[[#This Row],[Тело кредита]]</f>
        <v>83773.188034778213</v>
      </c>
      <c r="H38" s="20">
        <f>PV($B$10,$B$11-Табл1[[#This Row],[Период (№месяца)]]+1,$B$13,$B$6,$B$12)/IF(Табл1[[#This Row],[Период (№месяца)]]=1,1,1+$B$12*$B$10)</f>
        <v>85187.992567839407</v>
      </c>
      <c r="I38" s="4">
        <f>-FV($B$10,Табл1[[#This Row],[Период (№месяца)]],$B$13,$B$5,$B$12)/(1+$B$12*$B$10)</f>
        <v>83773.188034778286</v>
      </c>
      <c r="J3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85187.992567839407</v>
      </c>
      <c r="K38" s="4">
        <f>-($B$13*(1+$B$10*$B$12)*(1-(1+$B$10)^Табл1[[#This Row],[Период (№месяца)]])/$B$10-$B$5*((1+$B$10)^Табл1[[#This Row],[Период (№месяца)]]))/(1+$B$12*$B$10)</f>
        <v>83773.188034778272</v>
      </c>
      <c r="M38" s="5">
        <v>12</v>
      </c>
      <c r="N38" s="32">
        <f t="shared" si="3"/>
        <v>-709.89993806532846</v>
      </c>
      <c r="O38" s="30">
        <f t="shared" si="4"/>
        <v>-709.89993806533153</v>
      </c>
      <c r="P38" s="30">
        <f t="shared" si="5"/>
        <v>-709.89993806533175</v>
      </c>
      <c r="Q38" s="30">
        <f t="shared" si="6"/>
        <v>-709.89993806532834</v>
      </c>
      <c r="R38" s="30">
        <f>Табл1[[#This Row],[Процент]]-O38</f>
        <v>0</v>
      </c>
      <c r="S38" s="21"/>
      <c r="T38" s="21"/>
    </row>
    <row r="39" spans="1:27" x14ac:dyDescent="0.25">
      <c r="A39" s="3">
        <f>IF(ROW()-ROW(Табл1[[#Headers],[Период (№месяца)]])&gt;$B$11,0,ROW()-ROW(Табл1[[#Headers],[Период (№месяца)]]))</f>
        <v>13</v>
      </c>
      <c r="B39" s="4">
        <f>$B$5+SUM($D$26:D38)</f>
        <v>83773.188034778213</v>
      </c>
      <c r="C39" s="4">
        <f t="shared" si="0"/>
        <v>-2124.7044711268277</v>
      </c>
      <c r="D39" s="4">
        <f t="shared" si="1"/>
        <v>-1426.5945708370093</v>
      </c>
      <c r="E39" s="4">
        <f t="shared" si="2"/>
        <v>-698.1099002898186</v>
      </c>
      <c r="F39" s="4">
        <f>SUM($D$27:D39)</f>
        <v>-17653.406536058799</v>
      </c>
      <c r="G39" s="4">
        <f>Табл1[[#This Row],[Баланс на начало периода]]+Табл1[[#This Row],[Тело кредита]]</f>
        <v>82346.593463941201</v>
      </c>
      <c r="H39" s="20">
        <f>PV($B$10,$B$11-Табл1[[#This Row],[Период (№месяца)]]+1,$B$13,$B$6,$B$12)/IF(Табл1[[#This Row],[Период (№месяца)]]=1,1,1+$B$12*$B$10)</f>
        <v>83773.188034777908</v>
      </c>
      <c r="I39" s="4">
        <f>-FV($B$10,Табл1[[#This Row],[Период (№месяца)]],$B$13,$B$5,$B$12)/(1+$B$12*$B$10)</f>
        <v>82346.593463941303</v>
      </c>
      <c r="J3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83773.188034777908</v>
      </c>
      <c r="K39" s="4">
        <f>-($B$13*(1+$B$10*$B$12)*(1-(1+$B$10)^Табл1[[#This Row],[Период (№месяца)]])/$B$10-$B$5*((1+$B$10)^Табл1[[#This Row],[Период (№месяца)]]))/(1+$B$12*$B$10)</f>
        <v>82346.593463941303</v>
      </c>
      <c r="M39" s="5">
        <v>13</v>
      </c>
      <c r="N39" s="32">
        <f t="shared" si="3"/>
        <v>-698.10990028981587</v>
      </c>
      <c r="O39" s="30">
        <f t="shared" si="4"/>
        <v>-698.10990028981905</v>
      </c>
      <c r="P39" s="30">
        <f t="shared" si="5"/>
        <v>-698.10990028981894</v>
      </c>
      <c r="Q39" s="30">
        <f t="shared" si="6"/>
        <v>-698.10990028981587</v>
      </c>
      <c r="R39" s="30">
        <f>Табл1[[#This Row],[Процент]]-O39</f>
        <v>0</v>
      </c>
      <c r="S39" s="21"/>
      <c r="T39" s="21"/>
      <c r="U39" s="4"/>
      <c r="V39" s="4"/>
      <c r="W39" s="4"/>
      <c r="X39" s="4"/>
      <c r="Y39" s="4"/>
      <c r="Z39" s="4"/>
      <c r="AA39" s="4"/>
    </row>
    <row r="40" spans="1:27" x14ac:dyDescent="0.25">
      <c r="A40" s="3">
        <f>IF(ROW()-ROW(Табл1[[#Headers],[Период (№месяца)]])&gt;$B$11,0,ROW()-ROW(Табл1[[#Headers],[Период (№месяца)]]))</f>
        <v>14</v>
      </c>
      <c r="B40" s="4">
        <f>$B$5+SUM($D$26:D39)</f>
        <v>82346.593463941201</v>
      </c>
      <c r="C40" s="4">
        <f t="shared" si="0"/>
        <v>-2124.7044711268277</v>
      </c>
      <c r="D40" s="4">
        <f t="shared" si="1"/>
        <v>-1438.4828589273175</v>
      </c>
      <c r="E40" s="4">
        <f t="shared" si="2"/>
        <v>-686.2216121995101</v>
      </c>
      <c r="F40" s="4">
        <f>SUM($D$27:D40)</f>
        <v>-19091.889394986116</v>
      </c>
      <c r="G40" s="4">
        <f>Табл1[[#This Row],[Баланс на начало периода]]+Табл1[[#This Row],[Тело кредита]]</f>
        <v>80908.110605013877</v>
      </c>
      <c r="H40" s="20">
        <f>PV($B$10,$B$11-Табл1[[#This Row],[Период (№месяца)]]+1,$B$13,$B$6,$B$12)/IF(Табл1[[#This Row],[Период (№месяца)]]=1,1,1+$B$12*$B$10)</f>
        <v>82346.59346394091</v>
      </c>
      <c r="I40" s="4">
        <f>-FV($B$10,Табл1[[#This Row],[Период (№месяца)]],$B$13,$B$5,$B$12)/(1+$B$12*$B$10)</f>
        <v>80908.110605013979</v>
      </c>
      <c r="J4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82346.593463940895</v>
      </c>
      <c r="K40" s="4">
        <f>-($B$13*(1+$B$10*$B$12)*(1-(1+$B$10)^Табл1[[#This Row],[Период (№месяца)]])/$B$10-$B$5*((1+$B$10)^Табл1[[#This Row],[Период (№месяца)]]))/(1+$B$12*$B$10)</f>
        <v>80908.110605013979</v>
      </c>
      <c r="M40" s="5">
        <v>14</v>
      </c>
      <c r="N40" s="32">
        <f t="shared" si="3"/>
        <v>-686.22161219950749</v>
      </c>
      <c r="O40" s="30">
        <f t="shared" si="4"/>
        <v>-686.2216121995109</v>
      </c>
      <c r="P40" s="30">
        <f t="shared" si="5"/>
        <v>-686.22161219951101</v>
      </c>
      <c r="Q40" s="30">
        <f t="shared" si="6"/>
        <v>-686.22161219950749</v>
      </c>
      <c r="R40" s="30">
        <f>Табл1[[#This Row],[Процент]]-O40</f>
        <v>0</v>
      </c>
      <c r="S40" s="21"/>
      <c r="T40" s="21"/>
    </row>
    <row r="41" spans="1:27" x14ac:dyDescent="0.25">
      <c r="A41" s="3">
        <f>IF(ROW()-ROW(Табл1[[#Headers],[Период (№месяца)]])&gt;$B$11,0,ROW()-ROW(Табл1[[#Headers],[Период (№месяца)]]))</f>
        <v>15</v>
      </c>
      <c r="B41" s="4">
        <f>$B$5+SUM($D$26:D40)</f>
        <v>80908.110605013877</v>
      </c>
      <c r="C41" s="4">
        <f t="shared" si="0"/>
        <v>-2124.7044711268277</v>
      </c>
      <c r="D41" s="4">
        <f t="shared" si="1"/>
        <v>-1450.4702160850452</v>
      </c>
      <c r="E41" s="4">
        <f t="shared" si="2"/>
        <v>-674.23425504178238</v>
      </c>
      <c r="F41" s="4">
        <f>SUM($D$27:D41)</f>
        <v>-20542.359611071162</v>
      </c>
      <c r="G41" s="4">
        <f>Табл1[[#This Row],[Баланс на начало периода]]+Табл1[[#This Row],[Тело кредита]]</f>
        <v>79457.640388928834</v>
      </c>
      <c r="H41" s="20">
        <f>PV($B$10,$B$11-Табл1[[#This Row],[Период (№месяца)]]+1,$B$13,$B$6,$B$12)/IF(Табл1[[#This Row],[Период (№месяца)]]=1,1,1+$B$12*$B$10)</f>
        <v>80908.110605013586</v>
      </c>
      <c r="I41" s="4">
        <f>-FV($B$10,Табл1[[#This Row],[Период (№месяца)]],$B$13,$B$5,$B$12)/(1+$B$12*$B$10)</f>
        <v>79457.640388928936</v>
      </c>
      <c r="J4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80908.1106050136</v>
      </c>
      <c r="K41" s="4">
        <f>-($B$13*(1+$B$10*$B$12)*(1-(1+$B$10)^Табл1[[#This Row],[Период (№месяца)]])/$B$10-$B$5*((1+$B$10)^Табл1[[#This Row],[Период (№месяца)]]))/(1+$B$12*$B$10)</f>
        <v>79457.640388928936</v>
      </c>
      <c r="M41" s="5">
        <v>15</v>
      </c>
      <c r="N41" s="32">
        <f t="shared" si="3"/>
        <v>-674.23425504177999</v>
      </c>
      <c r="O41" s="30">
        <f t="shared" si="4"/>
        <v>-674.23425504178317</v>
      </c>
      <c r="P41" s="30">
        <f t="shared" si="5"/>
        <v>-674.23425504178329</v>
      </c>
      <c r="Q41" s="30">
        <f t="shared" si="6"/>
        <v>-674.23425504177999</v>
      </c>
      <c r="R41" s="30">
        <f>Табл1[[#This Row],[Процент]]-O41</f>
        <v>0</v>
      </c>
      <c r="S41" s="21"/>
      <c r="T41" s="21"/>
    </row>
    <row r="42" spans="1:27" x14ac:dyDescent="0.25">
      <c r="A42" s="3">
        <f>IF(ROW()-ROW(Табл1[[#Headers],[Период (№месяца)]])&gt;$B$11,0,ROW()-ROW(Табл1[[#Headers],[Период (№месяца)]]))</f>
        <v>16</v>
      </c>
      <c r="B42" s="4">
        <f>$B$5+SUM($D$26:D41)</f>
        <v>79457.640388928834</v>
      </c>
      <c r="C42" s="4">
        <f t="shared" si="0"/>
        <v>-2124.7044711268277</v>
      </c>
      <c r="D42" s="4">
        <f t="shared" si="1"/>
        <v>-1462.5574678857538</v>
      </c>
      <c r="E42" s="4">
        <f t="shared" si="2"/>
        <v>-662.14700324107366</v>
      </c>
      <c r="F42" s="4">
        <f>SUM($D$27:D42)</f>
        <v>-22004.917078956918</v>
      </c>
      <c r="G42" s="4">
        <f>Табл1[[#This Row],[Баланс на начало периода]]+Табл1[[#This Row],[Тело кредита]]</f>
        <v>77995.082921043082</v>
      </c>
      <c r="H42" s="20">
        <f>PV($B$10,$B$11-Табл1[[#This Row],[Период (№месяца)]]+1,$B$13,$B$6,$B$12)/IF(Табл1[[#This Row],[Период (№месяца)]]=1,1,1+$B$12*$B$10)</f>
        <v>79457.640388928528</v>
      </c>
      <c r="I42" s="4">
        <f>-FV($B$10,Табл1[[#This Row],[Период (№месяца)]],$B$13,$B$5,$B$12)/(1+$B$12*$B$10)</f>
        <v>77995.082921043184</v>
      </c>
      <c r="J4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79457.640388928514</v>
      </c>
      <c r="K42" s="4">
        <f>-($B$13*(1+$B$10*$B$12)*(1-(1+$B$10)^Табл1[[#This Row],[Период (№месяца)]])/$B$10-$B$5*((1+$B$10)^Табл1[[#This Row],[Период (№месяца)]]))/(1+$B$12*$B$10)</f>
        <v>77995.082921043198</v>
      </c>
      <c r="M42" s="5">
        <v>16</v>
      </c>
      <c r="N42" s="32">
        <f t="shared" si="3"/>
        <v>-662.14700324107093</v>
      </c>
      <c r="O42" s="30">
        <f t="shared" si="4"/>
        <v>-662.14700324107446</v>
      </c>
      <c r="P42" s="30">
        <f t="shared" si="5"/>
        <v>-662.14700324107469</v>
      </c>
      <c r="Q42" s="30">
        <f t="shared" si="6"/>
        <v>-662.14700324107093</v>
      </c>
      <c r="R42" s="30">
        <f>Табл1[[#This Row],[Процент]]-O42</f>
        <v>0</v>
      </c>
      <c r="S42" s="21"/>
      <c r="T42" s="21"/>
    </row>
    <row r="43" spans="1:27" x14ac:dyDescent="0.25">
      <c r="A43" s="3">
        <f>IF(ROW()-ROW(Табл1[[#Headers],[Период (№месяца)]])&gt;$B$11,0,ROW()-ROW(Табл1[[#Headers],[Период (№месяца)]]))</f>
        <v>17</v>
      </c>
      <c r="B43" s="4">
        <f>$B$5+SUM($D$26:D42)</f>
        <v>77995.082921043082</v>
      </c>
      <c r="C43" s="4">
        <f t="shared" si="0"/>
        <v>-2124.7044711268277</v>
      </c>
      <c r="D43" s="4">
        <f t="shared" si="1"/>
        <v>-1474.7454467848017</v>
      </c>
      <c r="E43" s="4">
        <f t="shared" si="2"/>
        <v>-649.95902434202571</v>
      </c>
      <c r="F43" s="4">
        <f>SUM($D$27:D43)</f>
        <v>-23479.662525741718</v>
      </c>
      <c r="G43" s="4">
        <f>Табл1[[#This Row],[Баланс на начало периода]]+Табл1[[#This Row],[Тело кредита]]</f>
        <v>76520.337474258282</v>
      </c>
      <c r="H43" s="20">
        <f>PV($B$10,$B$11-Табл1[[#This Row],[Период (№месяца)]]+1,$B$13,$B$6,$B$12)/IF(Табл1[[#This Row],[Период (№месяца)]]=1,1,1+$B$12*$B$10)</f>
        <v>77995.082921042806</v>
      </c>
      <c r="I43" s="4">
        <f>-FV($B$10,Табл1[[#This Row],[Период (№месяца)]],$B$13,$B$5,$B$12)/(1+$B$12*$B$10)</f>
        <v>76520.337474258398</v>
      </c>
      <c r="J4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77995.08292104282</v>
      </c>
      <c r="K43" s="4">
        <f>-($B$13*(1+$B$10*$B$12)*(1-(1+$B$10)^Табл1[[#This Row],[Период (№месяца)]])/$B$10-$B$5*((1+$B$10)^Табл1[[#This Row],[Период (№месяца)]]))/(1+$B$12*$B$10)</f>
        <v>76520.337474258413</v>
      </c>
      <c r="M43" s="5">
        <v>17</v>
      </c>
      <c r="N43" s="32">
        <f t="shared" si="3"/>
        <v>-649.95902434202344</v>
      </c>
      <c r="O43" s="30">
        <f t="shared" si="4"/>
        <v>-649.95902434202651</v>
      </c>
      <c r="P43" s="30">
        <f t="shared" si="5"/>
        <v>-649.95902434202651</v>
      </c>
      <c r="Q43" s="30">
        <f t="shared" si="6"/>
        <v>-649.95902434202344</v>
      </c>
      <c r="R43" s="30">
        <f>Табл1[[#This Row],[Процент]]-O43</f>
        <v>0</v>
      </c>
      <c r="S43" s="21"/>
      <c r="T43" s="21"/>
    </row>
    <row r="44" spans="1:27" x14ac:dyDescent="0.25">
      <c r="A44" s="3">
        <f>IF(ROW()-ROW(Табл1[[#Headers],[Период (№месяца)]])&gt;$B$11,0,ROW()-ROW(Табл1[[#Headers],[Период (№месяца)]]))</f>
        <v>18</v>
      </c>
      <c r="B44" s="4">
        <f>$B$5+SUM($D$26:D43)</f>
        <v>76520.337474258282</v>
      </c>
      <c r="C44" s="4">
        <f t="shared" si="0"/>
        <v>-2124.7044711268277</v>
      </c>
      <c r="D44" s="4">
        <f t="shared" si="1"/>
        <v>-1487.0349921746752</v>
      </c>
      <c r="E44" s="4">
        <f t="shared" si="2"/>
        <v>-637.66947895215242</v>
      </c>
      <c r="F44" s="4">
        <f>SUM($D$27:D44)</f>
        <v>-24966.697517916393</v>
      </c>
      <c r="G44" s="4">
        <f>Табл1[[#This Row],[Баланс на начало периода]]+Табл1[[#This Row],[Тело кредита]]</f>
        <v>75033.3024820836</v>
      </c>
      <c r="H44" s="20">
        <f>PV($B$10,$B$11-Табл1[[#This Row],[Период (№месяца)]]+1,$B$13,$B$6,$B$12)/IF(Табл1[[#This Row],[Период (№месяца)]]=1,1,1+$B$12*$B$10)</f>
        <v>76520.337474257991</v>
      </c>
      <c r="I44" s="4">
        <f>-FV($B$10,Табл1[[#This Row],[Период (№месяца)]],$B$13,$B$5,$B$12)/(1+$B$12*$B$10)</f>
        <v>75033.302482083702</v>
      </c>
      <c r="J4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76520.337474258005</v>
      </c>
      <c r="K44" s="4">
        <f>-($B$13*(1+$B$10*$B$12)*(1-(1+$B$10)^Табл1[[#This Row],[Период (№месяца)]])/$B$10-$B$5*((1+$B$10)^Табл1[[#This Row],[Период (№месяца)]]))/(1+$B$12*$B$10)</f>
        <v>75033.302482083702</v>
      </c>
      <c r="M44" s="5">
        <v>18</v>
      </c>
      <c r="N44" s="32">
        <f t="shared" si="3"/>
        <v>-637.66947895215003</v>
      </c>
      <c r="O44" s="30">
        <f t="shared" si="4"/>
        <v>-637.66947895215333</v>
      </c>
      <c r="P44" s="30">
        <f t="shared" si="5"/>
        <v>-637.66947895215344</v>
      </c>
      <c r="Q44" s="30">
        <f t="shared" si="6"/>
        <v>-637.66947895215003</v>
      </c>
      <c r="R44" s="30">
        <f>Табл1[[#This Row],[Процент]]-O44</f>
        <v>9.0949470177292824E-13</v>
      </c>
      <c r="S44" s="21"/>
      <c r="T44" s="21"/>
    </row>
    <row r="45" spans="1:27" x14ac:dyDescent="0.25">
      <c r="A45" s="3">
        <f>IF(ROW()-ROW(Табл1[[#Headers],[Период (№месяца)]])&gt;$B$11,0,ROW()-ROW(Табл1[[#Headers],[Период (№месяца)]]))</f>
        <v>19</v>
      </c>
      <c r="B45" s="4">
        <f>$B$5+SUM($D$26:D44)</f>
        <v>75033.302482083614</v>
      </c>
      <c r="C45" s="4">
        <f t="shared" si="0"/>
        <v>-2124.7044711268277</v>
      </c>
      <c r="D45" s="4">
        <f t="shared" si="1"/>
        <v>-1499.4269504427975</v>
      </c>
      <c r="E45" s="4">
        <f t="shared" si="2"/>
        <v>-625.27752068403026</v>
      </c>
      <c r="F45" s="4">
        <f>SUM($D$27:D45)</f>
        <v>-26466.12446835919</v>
      </c>
      <c r="G45" s="4">
        <f>Табл1[[#This Row],[Баланс на начало периода]]+Табл1[[#This Row],[Тело кредита]]</f>
        <v>73533.875531640821</v>
      </c>
      <c r="H45" s="20">
        <f>PV($B$10,$B$11-Табл1[[#This Row],[Период (№месяца)]]+1,$B$13,$B$6,$B$12)/IF(Табл1[[#This Row],[Период (№месяца)]]=1,1,1+$B$12*$B$10)</f>
        <v>75033.302482083338</v>
      </c>
      <c r="I45" s="4">
        <f>-FV($B$10,Табл1[[#This Row],[Период (№месяца)]],$B$13,$B$5,$B$12)/(1+$B$12*$B$10)</f>
        <v>73533.875531640922</v>
      </c>
      <c r="J4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75033.302482083353</v>
      </c>
      <c r="K45" s="4">
        <f>-($B$13*(1+$B$10*$B$12)*(1-(1+$B$10)^Табл1[[#This Row],[Период (№месяца)]])/$B$10-$B$5*((1+$B$10)^Табл1[[#This Row],[Период (№месяца)]]))/(1+$B$12*$B$10)</f>
        <v>73533.875531640922</v>
      </c>
      <c r="M45" s="5">
        <v>19</v>
      </c>
      <c r="N45" s="32">
        <f t="shared" si="3"/>
        <v>-625.27752068402799</v>
      </c>
      <c r="O45" s="30">
        <f t="shared" si="4"/>
        <v>-625.27752068403083</v>
      </c>
      <c r="P45" s="30">
        <f t="shared" si="5"/>
        <v>-625.27752068403106</v>
      </c>
      <c r="Q45" s="30">
        <f t="shared" si="6"/>
        <v>-625.27752068402788</v>
      </c>
      <c r="R45" s="30">
        <f>Табл1[[#This Row],[Процент]]-O45</f>
        <v>0</v>
      </c>
      <c r="S45" s="21"/>
      <c r="T45" s="21"/>
    </row>
    <row r="46" spans="1:27" x14ac:dyDescent="0.25">
      <c r="A46" s="3">
        <f>IF(ROW()-ROW(Табл1[[#Headers],[Период (№месяца)]])&gt;$B$11,0,ROW()-ROW(Табл1[[#Headers],[Период (№месяца)]]))</f>
        <v>20</v>
      </c>
      <c r="B46" s="4">
        <f>$B$5+SUM($D$26:D45)</f>
        <v>73533.875531640806</v>
      </c>
      <c r="C46" s="4">
        <f t="shared" si="0"/>
        <v>-2124.7044711268277</v>
      </c>
      <c r="D46" s="4">
        <f t="shared" si="1"/>
        <v>-1511.9221750298207</v>
      </c>
      <c r="E46" s="4">
        <f t="shared" si="2"/>
        <v>-612.78229609700679</v>
      </c>
      <c r="F46" s="4">
        <f>SUM($D$27:D46)</f>
        <v>-27978.046643389011</v>
      </c>
      <c r="G46" s="4">
        <f>Табл1[[#This Row],[Баланс на начало периода]]+Табл1[[#This Row],[Тело кредита]]</f>
        <v>72021.953356610989</v>
      </c>
      <c r="H46" s="20">
        <f>PV($B$10,$B$11-Табл1[[#This Row],[Период (№месяца)]]+1,$B$13,$B$6,$B$12)/IF(Табл1[[#This Row],[Период (№месяца)]]=1,1,1+$B$12*$B$10)</f>
        <v>73533.87553164053</v>
      </c>
      <c r="I46" s="4">
        <f>-FV($B$10,Табл1[[#This Row],[Период (№месяца)]],$B$13,$B$5,$B$12)/(1+$B$12*$B$10)</f>
        <v>72021.953356611135</v>
      </c>
      <c r="J4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73533.87553164053</v>
      </c>
      <c r="K46" s="4">
        <f>-($B$13*(1+$B$10*$B$12)*(1-(1+$B$10)^Табл1[[#This Row],[Период (№месяца)]])/$B$10-$B$5*((1+$B$10)^Табл1[[#This Row],[Период (№месяца)]]))/(1+$B$12*$B$10)</f>
        <v>72021.953356611135</v>
      </c>
      <c r="M46" s="5">
        <v>20</v>
      </c>
      <c r="N46" s="32">
        <f t="shared" si="3"/>
        <v>-612.78229609700441</v>
      </c>
      <c r="O46" s="30">
        <f t="shared" si="4"/>
        <v>-612.7822960970077</v>
      </c>
      <c r="P46" s="30">
        <f t="shared" si="5"/>
        <v>-612.78229609700759</v>
      </c>
      <c r="Q46" s="30">
        <f t="shared" si="6"/>
        <v>-612.78229609700429</v>
      </c>
      <c r="R46" s="30">
        <f>Табл1[[#This Row],[Процент]]-O46</f>
        <v>9.0949470177292824E-13</v>
      </c>
      <c r="S46" s="21"/>
      <c r="T46" s="21"/>
    </row>
    <row r="47" spans="1:27" x14ac:dyDescent="0.25">
      <c r="A47" s="3">
        <f>IF(ROW()-ROW(Табл1[[#Headers],[Период (№месяца)]])&gt;$B$11,0,ROW()-ROW(Табл1[[#Headers],[Период (№месяца)]]))</f>
        <v>21</v>
      </c>
      <c r="B47" s="4">
        <f>$B$5+SUM($D$26:D46)</f>
        <v>72021.953356610989</v>
      </c>
      <c r="C47" s="4">
        <f t="shared" si="0"/>
        <v>-2124.7044711268277</v>
      </c>
      <c r="D47" s="4">
        <f t="shared" si="1"/>
        <v>-1524.5215264884027</v>
      </c>
      <c r="E47" s="4">
        <f t="shared" si="2"/>
        <v>-600.18294463842506</v>
      </c>
      <c r="F47" s="4">
        <f>SUM($D$27:D47)</f>
        <v>-29502.568169877413</v>
      </c>
      <c r="G47" s="4">
        <f>Табл1[[#This Row],[Баланс на начало периода]]+Табл1[[#This Row],[Тело кредита]]</f>
        <v>70497.431830122587</v>
      </c>
      <c r="H47" s="20">
        <f>PV($B$10,$B$11-Табл1[[#This Row],[Период (№месяца)]]+1,$B$13,$B$6,$B$12)/IF(Табл1[[#This Row],[Период (№месяца)]]=1,1,1+$B$12*$B$10)</f>
        <v>72021.953356610727</v>
      </c>
      <c r="I47" s="4">
        <f>-FV($B$10,Табл1[[#This Row],[Период (№месяца)]],$B$13,$B$5,$B$12)/(1+$B$12*$B$10)</f>
        <v>70497.431830122747</v>
      </c>
      <c r="J4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72021.953356610713</v>
      </c>
      <c r="K47" s="4">
        <f>-($B$13*(1+$B$10*$B$12)*(1-(1+$B$10)^Табл1[[#This Row],[Период (№месяца)]])/$B$10-$B$5*((1+$B$10)^Табл1[[#This Row],[Период (№месяца)]]))/(1+$B$12*$B$10)</f>
        <v>70497.431830122747</v>
      </c>
      <c r="M47" s="5">
        <v>21</v>
      </c>
      <c r="N47" s="32">
        <f t="shared" si="3"/>
        <v>-600.18294463842255</v>
      </c>
      <c r="O47" s="30">
        <f t="shared" si="4"/>
        <v>-600.18294463842608</v>
      </c>
      <c r="P47" s="30">
        <f t="shared" si="5"/>
        <v>-600.18294463842619</v>
      </c>
      <c r="Q47" s="30">
        <f t="shared" si="6"/>
        <v>-600.18294463842267</v>
      </c>
      <c r="R47" s="30">
        <f>Табл1[[#This Row],[Процент]]-O47</f>
        <v>1.0231815394945443E-12</v>
      </c>
      <c r="S47" s="21"/>
      <c r="T47" s="21"/>
    </row>
    <row r="48" spans="1:27" x14ac:dyDescent="0.25">
      <c r="A48" s="3">
        <f>IF(ROW()-ROW(Табл1[[#Headers],[Период (№месяца)]])&gt;$B$11,0,ROW()-ROW(Табл1[[#Headers],[Период (№месяца)]]))</f>
        <v>22</v>
      </c>
      <c r="B48" s="4">
        <f>$B$5+SUM($D$26:D47)</f>
        <v>70497.431830122587</v>
      </c>
      <c r="C48" s="4">
        <f t="shared" si="0"/>
        <v>-2124.7044711268277</v>
      </c>
      <c r="D48" s="4">
        <f t="shared" si="1"/>
        <v>-1537.2258725424729</v>
      </c>
      <c r="E48" s="4">
        <f t="shared" si="2"/>
        <v>-587.47859858435504</v>
      </c>
      <c r="F48" s="4">
        <f>SUM($D$27:D48)</f>
        <v>-31039.794042419886</v>
      </c>
      <c r="G48" s="4">
        <f>Табл1[[#This Row],[Баланс на начало периода]]+Табл1[[#This Row],[Тело кредита]]</f>
        <v>68960.20595758011</v>
      </c>
      <c r="H48" s="20">
        <f>PV($B$10,$B$11-Табл1[[#This Row],[Период (№месяца)]]+1,$B$13,$B$6,$B$12)/IF(Табл1[[#This Row],[Период (№месяца)]]=1,1,1+$B$12*$B$10)</f>
        <v>70497.431830122296</v>
      </c>
      <c r="I48" s="4">
        <f>-FV($B$10,Табл1[[#This Row],[Период (№месяца)]],$B$13,$B$5,$B$12)/(1+$B$12*$B$10)</f>
        <v>68960.205957580241</v>
      </c>
      <c r="J4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70497.431830122296</v>
      </c>
      <c r="K48" s="4">
        <f>-($B$13*(1+$B$10*$B$12)*(1-(1+$B$10)^Табл1[[#This Row],[Период (№месяца)]])/$B$10-$B$5*((1+$B$10)^Табл1[[#This Row],[Период (№месяца)]]))/(1+$B$12*$B$10)</f>
        <v>68960.205957580256</v>
      </c>
      <c r="M48" s="5">
        <v>22</v>
      </c>
      <c r="N48" s="32">
        <f t="shared" si="3"/>
        <v>-587.47859858435254</v>
      </c>
      <c r="O48" s="30">
        <f t="shared" si="4"/>
        <v>-587.47859858435618</v>
      </c>
      <c r="P48" s="30">
        <f t="shared" si="5"/>
        <v>-587.47859858435629</v>
      </c>
      <c r="Q48" s="30">
        <f t="shared" si="6"/>
        <v>-587.47859858435254</v>
      </c>
      <c r="R48" s="30">
        <f>Табл1[[#This Row],[Процент]]-O48</f>
        <v>1.1368683772161603E-12</v>
      </c>
      <c r="S48" s="21"/>
      <c r="T48" s="21"/>
    </row>
    <row r="49" spans="1:20" x14ac:dyDescent="0.25">
      <c r="A49" s="3">
        <f>IF(ROW()-ROW(Табл1[[#Headers],[Период (№месяца)]])&gt;$B$11,0,ROW()-ROW(Табл1[[#Headers],[Период (№месяца)]]))</f>
        <v>23</v>
      </c>
      <c r="B49" s="4">
        <f>$B$5+SUM($D$26:D48)</f>
        <v>68960.20595758011</v>
      </c>
      <c r="C49" s="4">
        <f t="shared" si="0"/>
        <v>-2124.7044711268277</v>
      </c>
      <c r="D49" s="4">
        <f t="shared" si="1"/>
        <v>-1550.0360881469933</v>
      </c>
      <c r="E49" s="4">
        <f t="shared" si="2"/>
        <v>-574.66838297983429</v>
      </c>
      <c r="F49" s="4">
        <f>SUM($D$27:D49)</f>
        <v>-32589.830130566879</v>
      </c>
      <c r="G49" s="4">
        <f>Табл1[[#This Row],[Баланс на начало периода]]+Табл1[[#This Row],[Тело кредита]]</f>
        <v>67410.169869433113</v>
      </c>
      <c r="H49" s="20">
        <f>PV($B$10,$B$11-Табл1[[#This Row],[Период (№месяца)]]+1,$B$13,$B$6,$B$12)/IF(Табл1[[#This Row],[Период (№месяца)]]=1,1,1+$B$12*$B$10)</f>
        <v>68960.205957579863</v>
      </c>
      <c r="I49" s="4">
        <f>-FV($B$10,Табл1[[#This Row],[Период (№месяца)]],$B$13,$B$5,$B$12)/(1+$B$12*$B$10)</f>
        <v>67410.169869433288</v>
      </c>
      <c r="J4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68960.205957579863</v>
      </c>
      <c r="K49" s="4">
        <f>-($B$13*(1+$B$10*$B$12)*(1-(1+$B$10)^Табл1[[#This Row],[Период (№месяца)]])/$B$10-$B$5*((1+$B$10)^Табл1[[#This Row],[Период (№месяца)]]))/(1+$B$12*$B$10)</f>
        <v>67410.169869433288</v>
      </c>
      <c r="M49" s="5">
        <v>23</v>
      </c>
      <c r="N49" s="32">
        <f t="shared" si="3"/>
        <v>-574.66838297983213</v>
      </c>
      <c r="O49" s="30">
        <f t="shared" si="4"/>
        <v>-574.66838297983531</v>
      </c>
      <c r="P49" s="30">
        <f t="shared" si="5"/>
        <v>-574.66838297983531</v>
      </c>
      <c r="Q49" s="30">
        <f t="shared" si="6"/>
        <v>-574.66838297983213</v>
      </c>
      <c r="R49" s="30">
        <f>Табл1[[#This Row],[Процент]]-O49</f>
        <v>1.0231815394945443E-12</v>
      </c>
      <c r="S49" s="21"/>
      <c r="T49" s="21"/>
    </row>
    <row r="50" spans="1:20" x14ac:dyDescent="0.25">
      <c r="A50" s="3">
        <f>IF(ROW()-ROW(Табл1[[#Headers],[Период (№месяца)]])&gt;$B$11,0,ROW()-ROW(Табл1[[#Headers],[Период (№месяца)]]))</f>
        <v>24</v>
      </c>
      <c r="B50" s="4">
        <f>$B$5+SUM($D$26:D49)</f>
        <v>67410.169869433128</v>
      </c>
      <c r="C50" s="4">
        <f t="shared" si="0"/>
        <v>-2124.7044711268277</v>
      </c>
      <c r="D50" s="4">
        <f t="shared" si="1"/>
        <v>-1562.9530555482183</v>
      </c>
      <c r="E50" s="4">
        <f t="shared" si="2"/>
        <v>-561.75141557860934</v>
      </c>
      <c r="F50" s="4">
        <f>SUM($D$27:D50)</f>
        <v>-34152.783186115099</v>
      </c>
      <c r="G50" s="4">
        <f>Табл1[[#This Row],[Баланс на начало периода]]+Табл1[[#This Row],[Тело кредита]]</f>
        <v>65847.216813884908</v>
      </c>
      <c r="H50" s="20">
        <f>PV($B$10,$B$11-Табл1[[#This Row],[Период (№месяца)]]+1,$B$13,$B$6,$B$12)/IF(Табл1[[#This Row],[Период (№месяца)]]=1,1,1+$B$12*$B$10)</f>
        <v>67410.169869432837</v>
      </c>
      <c r="I50" s="4">
        <f>-FV($B$10,Табл1[[#This Row],[Период (№месяца)]],$B$13,$B$5,$B$12)/(1+$B$12*$B$10)</f>
        <v>65847.216813885068</v>
      </c>
      <c r="J5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67410.169869432852</v>
      </c>
      <c r="K50" s="4">
        <f>-($B$13*(1+$B$10*$B$12)*(1-(1+$B$10)^Табл1[[#This Row],[Период (№месяца)]])/$B$10-$B$5*((1+$B$10)^Табл1[[#This Row],[Период (№месяца)]]))/(1+$B$12*$B$10)</f>
        <v>65847.216813885068</v>
      </c>
      <c r="M50" s="5">
        <v>24</v>
      </c>
      <c r="N50" s="32">
        <f t="shared" si="3"/>
        <v>-561.75141557860707</v>
      </c>
      <c r="O50" s="30">
        <f t="shared" si="4"/>
        <v>-561.7514155786107</v>
      </c>
      <c r="P50" s="30">
        <f t="shared" si="5"/>
        <v>-561.7514155786107</v>
      </c>
      <c r="Q50" s="30">
        <f t="shared" si="6"/>
        <v>-561.75141557860707</v>
      </c>
      <c r="R50" s="30">
        <f>Табл1[[#This Row],[Процент]]-O50</f>
        <v>1.3642420526593924E-12</v>
      </c>
      <c r="S50" s="21"/>
      <c r="T50" s="21"/>
    </row>
    <row r="51" spans="1:20" x14ac:dyDescent="0.25">
      <c r="A51" s="3">
        <f>IF(ROW()-ROW(Табл1[[#Headers],[Период (№месяца)]])&gt;$B$11,0,ROW()-ROW(Табл1[[#Headers],[Период (№месяца)]]))</f>
        <v>25</v>
      </c>
      <c r="B51" s="4">
        <f>$B$5+SUM($D$26:D50)</f>
        <v>65847.216813884908</v>
      </c>
      <c r="C51" s="4">
        <f t="shared" si="0"/>
        <v>-2124.7044711268277</v>
      </c>
      <c r="D51" s="4">
        <f t="shared" si="1"/>
        <v>-1575.9776643444534</v>
      </c>
      <c r="E51" s="4">
        <f t="shared" si="2"/>
        <v>-548.72680678237418</v>
      </c>
      <c r="F51" s="4">
        <f>SUM($D$27:D51)</f>
        <v>-35728.760850459556</v>
      </c>
      <c r="G51" s="4">
        <f>Табл1[[#This Row],[Баланс на начало периода]]+Табл1[[#This Row],[Тело кредита]]</f>
        <v>64271.239149540452</v>
      </c>
      <c r="H51" s="20">
        <f>PV($B$10,$B$11-Табл1[[#This Row],[Период (№месяца)]]+1,$B$13,$B$6,$B$12)/IF(Табл1[[#This Row],[Период (№месяца)]]=1,1,1+$B$12*$B$10)</f>
        <v>65847.216813884632</v>
      </c>
      <c r="I51" s="4">
        <f>-FV($B$10,Табл1[[#This Row],[Период (№месяца)]],$B$13,$B$5,$B$12)/(1+$B$12*$B$10)</f>
        <v>64271.239149540634</v>
      </c>
      <c r="J5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65847.216813884646</v>
      </c>
      <c r="K51" s="4">
        <f>-($B$13*(1+$B$10*$B$12)*(1-(1+$B$10)^Табл1[[#This Row],[Период (№месяца)]])/$B$10-$B$5*((1+$B$10)^Табл1[[#This Row],[Период (№месяца)]]))/(1+$B$12*$B$10)</f>
        <v>64271.239149540634</v>
      </c>
      <c r="M51" s="5">
        <v>25</v>
      </c>
      <c r="N51" s="32">
        <f t="shared" si="3"/>
        <v>-548.72680678237202</v>
      </c>
      <c r="O51" s="30">
        <f t="shared" si="4"/>
        <v>-548.72680678237555</v>
      </c>
      <c r="P51" s="30">
        <f t="shared" si="5"/>
        <v>-548.72680678237566</v>
      </c>
      <c r="Q51" s="30">
        <f t="shared" si="6"/>
        <v>-548.72680678237202</v>
      </c>
      <c r="R51" s="30">
        <f>Табл1[[#This Row],[Процент]]-O51</f>
        <v>1.3642420526593924E-12</v>
      </c>
      <c r="S51" s="21"/>
      <c r="T51" s="21"/>
    </row>
    <row r="52" spans="1:20" x14ac:dyDescent="0.25">
      <c r="A52" s="3">
        <f>IF(ROW()-ROW(Табл1[[#Headers],[Период (№месяца)]])&gt;$B$11,0,ROW()-ROW(Табл1[[#Headers],[Период (№месяца)]]))</f>
        <v>26</v>
      </c>
      <c r="B52" s="4">
        <f>$B$5+SUM($D$26:D51)</f>
        <v>64271.239149540444</v>
      </c>
      <c r="C52" s="4">
        <f t="shared" si="0"/>
        <v>-2124.7044711268277</v>
      </c>
      <c r="D52" s="4">
        <f t="shared" si="1"/>
        <v>-1589.1108115473239</v>
      </c>
      <c r="E52" s="4">
        <f t="shared" si="2"/>
        <v>-535.59365957950376</v>
      </c>
      <c r="F52" s="4">
        <f>SUM($D$27:D52)</f>
        <v>-37317.871662006881</v>
      </c>
      <c r="G52" s="4">
        <f>Табл1[[#This Row],[Баланс на начало периода]]+Табл1[[#This Row],[Тело кредита]]</f>
        <v>62682.128337993119</v>
      </c>
      <c r="H52" s="20">
        <f>PV($B$10,$B$11-Табл1[[#This Row],[Период (№месяца)]]+1,$B$13,$B$6,$B$12)/IF(Табл1[[#This Row],[Период (№месяца)]]=1,1,1+$B$12*$B$10)</f>
        <v>64271.23914954019</v>
      </c>
      <c r="I52" s="4">
        <f>-FV($B$10,Табл1[[#This Row],[Период (№месяца)]],$B$13,$B$5,$B$12)/(1+$B$12*$B$10)</f>
        <v>62682.128337993316</v>
      </c>
      <c r="J5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64271.23914954019</v>
      </c>
      <c r="K52" s="4">
        <f>-($B$13*(1+$B$10*$B$12)*(1-(1+$B$10)^Табл1[[#This Row],[Период (№месяца)]])/$B$10-$B$5*((1+$B$10)^Табл1[[#This Row],[Период (№месяца)]]))/(1+$B$12*$B$10)</f>
        <v>62682.128337993316</v>
      </c>
      <c r="M52" s="5">
        <v>26</v>
      </c>
      <c r="N52" s="32">
        <f t="shared" si="3"/>
        <v>-535.5936595795016</v>
      </c>
      <c r="O52" s="30">
        <f t="shared" si="4"/>
        <v>-535.59365957950524</v>
      </c>
      <c r="P52" s="30">
        <f t="shared" si="5"/>
        <v>-535.59365957950558</v>
      </c>
      <c r="Q52" s="30">
        <f t="shared" si="6"/>
        <v>-535.59365957950149</v>
      </c>
      <c r="R52" s="30">
        <f>Табл1[[#This Row],[Процент]]-O52</f>
        <v>1.4779288903810084E-12</v>
      </c>
      <c r="S52" s="21"/>
      <c r="T52" s="21"/>
    </row>
    <row r="53" spans="1:20" x14ac:dyDescent="0.25">
      <c r="A53" s="3">
        <f>IF(ROW()-ROW(Табл1[[#Headers],[Период (№месяца)]])&gt;$B$11,0,ROW()-ROW(Табл1[[#Headers],[Период (№месяца)]]))</f>
        <v>27</v>
      </c>
      <c r="B53" s="4">
        <f>$B$5+SUM($D$26:D52)</f>
        <v>62682.128337993119</v>
      </c>
      <c r="C53" s="4">
        <f t="shared" si="0"/>
        <v>-2124.7044711268277</v>
      </c>
      <c r="D53" s="4">
        <f t="shared" si="1"/>
        <v>-1602.3534016435515</v>
      </c>
      <c r="E53" s="4">
        <f t="shared" si="2"/>
        <v>-522.35106948327609</v>
      </c>
      <c r="F53" s="4">
        <f>SUM($D$27:D53)</f>
        <v>-38920.225063650432</v>
      </c>
      <c r="G53" s="4">
        <f>Табл1[[#This Row],[Баланс на начало периода]]+Табл1[[#This Row],[Тело кредита]]</f>
        <v>61079.774936349568</v>
      </c>
      <c r="H53" s="20">
        <f>PV($B$10,$B$11-Табл1[[#This Row],[Период (№месяца)]]+1,$B$13,$B$6,$B$12)/IF(Табл1[[#This Row],[Период (№месяца)]]=1,1,1+$B$12*$B$10)</f>
        <v>62682.128337992908</v>
      </c>
      <c r="I53" s="4">
        <f>-FV($B$10,Табл1[[#This Row],[Период (№месяца)]],$B$13,$B$5,$B$12)/(1+$B$12*$B$10)</f>
        <v>61079.774936349757</v>
      </c>
      <c r="J5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62682.128337992901</v>
      </c>
      <c r="K53" s="4">
        <f>-($B$13*(1+$B$10*$B$12)*(1-(1+$B$10)^Табл1[[#This Row],[Период (№месяца)]])/$B$10-$B$5*((1+$B$10)^Табл1[[#This Row],[Период (№месяца)]]))/(1+$B$12*$B$10)</f>
        <v>61079.77493634975</v>
      </c>
      <c r="M53" s="5">
        <v>27</v>
      </c>
      <c r="N53" s="32">
        <f t="shared" si="3"/>
        <v>-522.35106948327416</v>
      </c>
      <c r="O53" s="30">
        <f t="shared" si="4"/>
        <v>-522.35106948327757</v>
      </c>
      <c r="P53" s="30">
        <f t="shared" si="5"/>
        <v>-522.3510694832778</v>
      </c>
      <c r="Q53" s="30">
        <f t="shared" si="6"/>
        <v>-522.35106948327416</v>
      </c>
      <c r="R53" s="30">
        <f>Табл1[[#This Row],[Процент]]-O53</f>
        <v>1.4779288903810084E-12</v>
      </c>
      <c r="S53" s="21"/>
      <c r="T53" s="21"/>
    </row>
    <row r="54" spans="1:20" x14ac:dyDescent="0.25">
      <c r="A54" s="3">
        <f>IF(ROW()-ROW(Табл1[[#Headers],[Период (№месяца)]])&gt;$B$11,0,ROW()-ROW(Табл1[[#Headers],[Период (№месяца)]]))</f>
        <v>28</v>
      </c>
      <c r="B54" s="4">
        <f>$B$5+SUM($D$26:D53)</f>
        <v>61079.774936349568</v>
      </c>
      <c r="C54" s="4">
        <f t="shared" si="0"/>
        <v>-2124.7044711268277</v>
      </c>
      <c r="D54" s="4">
        <f t="shared" si="1"/>
        <v>-1615.7063466572479</v>
      </c>
      <c r="E54" s="4">
        <f t="shared" si="2"/>
        <v>-508.99812446957981</v>
      </c>
      <c r="F54" s="4">
        <f>SUM($D$27:D54)</f>
        <v>-40535.931410307683</v>
      </c>
      <c r="G54" s="4">
        <f>Табл1[[#This Row],[Баланс на начало периода]]+Табл1[[#This Row],[Тело кредита]]</f>
        <v>59464.068589692317</v>
      </c>
      <c r="H54" s="20">
        <f>PV($B$10,$B$11-Табл1[[#This Row],[Период (№месяца)]]+1,$B$13,$B$6,$B$12)/IF(Табл1[[#This Row],[Период (№месяца)]]=1,1,1+$B$12*$B$10)</f>
        <v>61079.774936349342</v>
      </c>
      <c r="I54" s="4">
        <f>-FV($B$10,Табл1[[#This Row],[Период (№месяца)]],$B$13,$B$5,$B$12)/(1+$B$12*$B$10)</f>
        <v>59464.068589692499</v>
      </c>
      <c r="J5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61079.774936349328</v>
      </c>
      <c r="K54" s="4">
        <f>-($B$13*(1+$B$10*$B$12)*(1-(1+$B$10)^Табл1[[#This Row],[Период (№месяца)]])/$B$10-$B$5*((1+$B$10)^Табл1[[#This Row],[Период (№месяца)]]))/(1+$B$12*$B$10)</f>
        <v>59464.068589692499</v>
      </c>
      <c r="M54" s="5">
        <v>28</v>
      </c>
      <c r="N54" s="32">
        <f t="shared" si="3"/>
        <v>-508.99812446957776</v>
      </c>
      <c r="O54" s="30">
        <f t="shared" si="4"/>
        <v>-508.99812446958128</v>
      </c>
      <c r="P54" s="30">
        <f t="shared" si="5"/>
        <v>-508.99812446958128</v>
      </c>
      <c r="Q54" s="30">
        <f t="shared" si="6"/>
        <v>-508.99812446957776</v>
      </c>
      <c r="R54" s="30">
        <f>Табл1[[#This Row],[Процент]]-O54</f>
        <v>1.4779288903810084E-12</v>
      </c>
      <c r="S54" s="21"/>
      <c r="T54" s="21"/>
    </row>
    <row r="55" spans="1:20" x14ac:dyDescent="0.25">
      <c r="A55" s="3">
        <f>IF(ROW()-ROW(Табл1[[#Headers],[Период (№месяца)]])&gt;$B$11,0,ROW()-ROW(Табл1[[#Headers],[Период (№месяца)]]))</f>
        <v>29</v>
      </c>
      <c r="B55" s="4">
        <f>$B$5+SUM($D$26:D54)</f>
        <v>59464.068589692317</v>
      </c>
      <c r="C55" s="4">
        <f t="shared" si="0"/>
        <v>-2124.7044711268277</v>
      </c>
      <c r="D55" s="4">
        <f t="shared" si="1"/>
        <v>-1629.1705662127249</v>
      </c>
      <c r="E55" s="4">
        <f t="shared" si="2"/>
        <v>-495.53390491410278</v>
      </c>
      <c r="F55" s="4">
        <f>SUM($D$27:D55)</f>
        <v>-42165.101976520411</v>
      </c>
      <c r="G55" s="4">
        <f>Табл1[[#This Row],[Баланс на начало периода]]+Табл1[[#This Row],[Тело кредита]]</f>
        <v>57834.898023479589</v>
      </c>
      <c r="H55" s="20">
        <f>PV($B$10,$B$11-Табл1[[#This Row],[Период (№месяца)]]+1,$B$13,$B$6,$B$12)/IF(Табл1[[#This Row],[Период (№месяца)]]=1,1,1+$B$12*$B$10)</f>
        <v>59464.068589692099</v>
      </c>
      <c r="I55" s="4">
        <f>-FV($B$10,Табл1[[#This Row],[Период (№месяца)]],$B$13,$B$5,$B$12)/(1+$B$12*$B$10)</f>
        <v>57834.898023479836</v>
      </c>
      <c r="J5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59464.068589692106</v>
      </c>
      <c r="K55" s="4">
        <f>-($B$13*(1+$B$10*$B$12)*(1-(1+$B$10)^Табл1[[#This Row],[Период (№месяца)]])/$B$10-$B$5*((1+$B$10)^Табл1[[#This Row],[Период (№месяца)]]))/(1+$B$12*$B$10)</f>
        <v>57834.898023479836</v>
      </c>
      <c r="M55" s="5">
        <v>29</v>
      </c>
      <c r="N55" s="32">
        <f t="shared" si="3"/>
        <v>-495.5339049141009</v>
      </c>
      <c r="O55" s="30">
        <f t="shared" si="4"/>
        <v>-495.53390491410414</v>
      </c>
      <c r="P55" s="30">
        <f t="shared" si="5"/>
        <v>-495.53390491410443</v>
      </c>
      <c r="Q55" s="30">
        <f t="shared" si="6"/>
        <v>-495.53390491410096</v>
      </c>
      <c r="R55" s="30">
        <f>Табл1[[#This Row],[Процент]]-O55</f>
        <v>1.3642420526593924E-12</v>
      </c>
      <c r="S55" s="21"/>
      <c r="T55" s="21"/>
    </row>
    <row r="56" spans="1:20" x14ac:dyDescent="0.25">
      <c r="A56" s="3">
        <f>IF(ROW()-ROW(Табл1[[#Headers],[Период (№месяца)]])&gt;$B$11,0,ROW()-ROW(Табл1[[#Headers],[Период (№месяца)]]))</f>
        <v>30</v>
      </c>
      <c r="B56" s="4">
        <f>$B$5+SUM($D$26:D55)</f>
        <v>57834.898023479589</v>
      </c>
      <c r="C56" s="4">
        <f t="shared" si="0"/>
        <v>-2124.7044711268277</v>
      </c>
      <c r="D56" s="4">
        <f t="shared" si="1"/>
        <v>-1642.7469875978309</v>
      </c>
      <c r="E56" s="4">
        <f t="shared" si="2"/>
        <v>-481.95748352899682</v>
      </c>
      <c r="F56" s="4">
        <f>SUM($D$27:D56)</f>
        <v>-43807.848964118239</v>
      </c>
      <c r="G56" s="4">
        <f>Табл1[[#This Row],[Баланс на начало периода]]+Табл1[[#This Row],[Тело кредита]]</f>
        <v>56192.151035881761</v>
      </c>
      <c r="H56" s="20">
        <f>PV($B$10,$B$11-Табл1[[#This Row],[Период (№месяца)]]+1,$B$13,$B$6,$B$12)/IF(Табл1[[#This Row],[Период (№месяца)]]=1,1,1+$B$12*$B$10)</f>
        <v>57834.898023479371</v>
      </c>
      <c r="I56" s="4">
        <f>-FV($B$10,Табл1[[#This Row],[Период (№месяца)]],$B$13,$B$5,$B$12)/(1+$B$12*$B$10)</f>
        <v>56192.15103588198</v>
      </c>
      <c r="J5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57834.898023479378</v>
      </c>
      <c r="K56" s="4">
        <f>-($B$13*(1+$B$10*$B$12)*(1-(1+$B$10)^Табл1[[#This Row],[Период (№месяца)]])/$B$10-$B$5*((1+$B$10)^Табл1[[#This Row],[Период (№месяца)]]))/(1+$B$12*$B$10)</f>
        <v>56192.15103588198</v>
      </c>
      <c r="M56" s="5">
        <v>30</v>
      </c>
      <c r="N56" s="32">
        <f t="shared" si="3"/>
        <v>-481.95748352899483</v>
      </c>
      <c r="O56" s="30">
        <f t="shared" si="4"/>
        <v>-481.95748352899864</v>
      </c>
      <c r="P56" s="30">
        <f t="shared" si="5"/>
        <v>-481.95748352899875</v>
      </c>
      <c r="Q56" s="30">
        <f t="shared" si="6"/>
        <v>-481.95748352899477</v>
      </c>
      <c r="R56" s="30">
        <f>Табл1[[#This Row],[Процент]]-O56</f>
        <v>1.8189894035458565E-12</v>
      </c>
      <c r="S56" s="21"/>
      <c r="T56" s="21"/>
    </row>
    <row r="57" spans="1:20" x14ac:dyDescent="0.25">
      <c r="A57" s="3">
        <f>IF(ROW()-ROW(Табл1[[#Headers],[Период (№месяца)]])&gt;$B$11,0,ROW()-ROW(Табл1[[#Headers],[Период (№месяца)]]))</f>
        <v>31</v>
      </c>
      <c r="B57" s="4">
        <f>$B$5+SUM($D$26:D56)</f>
        <v>56192.151035881761</v>
      </c>
      <c r="C57" s="4">
        <f t="shared" si="0"/>
        <v>-2124.7044711268277</v>
      </c>
      <c r="D57" s="4">
        <f t="shared" si="1"/>
        <v>-1656.4365458278128</v>
      </c>
      <c r="E57" s="4">
        <f t="shared" si="2"/>
        <v>-468.26792529901473</v>
      </c>
      <c r="F57" s="4">
        <f>SUM($D$27:D57)</f>
        <v>-45464.28550994605</v>
      </c>
      <c r="G57" s="4">
        <f>Табл1[[#This Row],[Баланс на начало периода]]+Табл1[[#This Row],[Тело кредита]]</f>
        <v>54535.71449005395</v>
      </c>
      <c r="H57" s="20">
        <f>PV($B$10,$B$11-Табл1[[#This Row],[Период (№месяца)]]+1,$B$13,$B$6,$B$12)/IF(Табл1[[#This Row],[Период (№месяца)]]=1,1,1+$B$12*$B$10)</f>
        <v>56192.151035881565</v>
      </c>
      <c r="I57" s="4">
        <f>-FV($B$10,Табл1[[#This Row],[Период (№месяца)]],$B$13,$B$5,$B$12)/(1+$B$12*$B$10)</f>
        <v>54535.71449005419</v>
      </c>
      <c r="J5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56192.151035881565</v>
      </c>
      <c r="K57" s="4">
        <f>-($B$13*(1+$B$10*$B$12)*(1-(1+$B$10)^Табл1[[#This Row],[Период (№месяца)]])/$B$10-$B$5*((1+$B$10)^Табл1[[#This Row],[Период (№месяца)]]))/(1+$B$12*$B$10)</f>
        <v>54535.71449005419</v>
      </c>
      <c r="M57" s="5">
        <v>31</v>
      </c>
      <c r="N57" s="32">
        <f t="shared" si="3"/>
        <v>-468.26792529901303</v>
      </c>
      <c r="O57" s="30">
        <f t="shared" si="4"/>
        <v>-468.2679252990165</v>
      </c>
      <c r="P57" s="30">
        <f t="shared" si="5"/>
        <v>-468.26792529901655</v>
      </c>
      <c r="Q57" s="30">
        <f t="shared" si="6"/>
        <v>-468.26792529901309</v>
      </c>
      <c r="R57" s="30">
        <f>Табл1[[#This Row],[Процент]]-O57</f>
        <v>1.7621459846850485E-12</v>
      </c>
      <c r="S57" s="21"/>
      <c r="T57" s="21"/>
    </row>
    <row r="58" spans="1:20" x14ac:dyDescent="0.25">
      <c r="A58" s="3">
        <f>IF(ROW()-ROW(Табл1[[#Headers],[Период (№месяца)]])&gt;$B$11,0,ROW()-ROW(Табл1[[#Headers],[Период (№месяца)]]))</f>
        <v>32</v>
      </c>
      <c r="B58" s="4">
        <f>$B$5+SUM($D$26:D57)</f>
        <v>54535.71449005395</v>
      </c>
      <c r="C58" s="4">
        <f t="shared" si="0"/>
        <v>-2124.7044711268277</v>
      </c>
      <c r="D58" s="4">
        <f t="shared" si="1"/>
        <v>-1670.2401837097111</v>
      </c>
      <c r="E58" s="4">
        <f t="shared" si="2"/>
        <v>-454.46428741711634</v>
      </c>
      <c r="F58" s="4">
        <f>SUM($D$27:D58)</f>
        <v>-47134.525693655763</v>
      </c>
      <c r="G58" s="4">
        <f>Табл1[[#This Row],[Баланс на начало периода]]+Табл1[[#This Row],[Тело кредита]]</f>
        <v>52865.474306344237</v>
      </c>
      <c r="H58" s="20">
        <f>PV($B$10,$B$11-Табл1[[#This Row],[Период (№месяца)]]+1,$B$13,$B$6,$B$12)/IF(Табл1[[#This Row],[Период (№месяца)]]=1,1,1+$B$12*$B$10)</f>
        <v>54535.714490053717</v>
      </c>
      <c r="I58" s="4">
        <f>-FV($B$10,Табл1[[#This Row],[Период (№месяца)]],$B$13,$B$5,$B$12)/(1+$B$12*$B$10)</f>
        <v>52865.474306344477</v>
      </c>
      <c r="J5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54535.714490053717</v>
      </c>
      <c r="K58" s="4">
        <f>-($B$13*(1+$B$10*$B$12)*(1-(1+$B$10)^Табл1[[#This Row],[Период (№месяца)]])/$B$10-$B$5*((1+$B$10)^Табл1[[#This Row],[Период (№месяца)]]))/(1+$B$12*$B$10)</f>
        <v>52865.474306344477</v>
      </c>
      <c r="M58" s="5">
        <v>32</v>
      </c>
      <c r="N58" s="32">
        <f t="shared" si="3"/>
        <v>-454.46428741711429</v>
      </c>
      <c r="O58" s="30">
        <f t="shared" si="4"/>
        <v>-454.46428741711821</v>
      </c>
      <c r="P58" s="30">
        <f t="shared" si="5"/>
        <v>-454.46428741711827</v>
      </c>
      <c r="Q58" s="30">
        <f t="shared" si="6"/>
        <v>-454.46428741711429</v>
      </c>
      <c r="R58" s="30">
        <f>Табл1[[#This Row],[Процент]]-O58</f>
        <v>1.8758328224066645E-12</v>
      </c>
      <c r="S58" s="21"/>
      <c r="T58" s="21"/>
    </row>
    <row r="59" spans="1:20" x14ac:dyDescent="0.25">
      <c r="A59" s="3">
        <f>IF(ROW()-ROW(Табл1[[#Headers],[Период (№месяца)]])&gt;$B$11,0,ROW()-ROW(Табл1[[#Headers],[Период (№месяца)]]))</f>
        <v>33</v>
      </c>
      <c r="B59" s="4">
        <f>$B$5+SUM($D$26:D58)</f>
        <v>52865.474306344237</v>
      </c>
      <c r="C59" s="4">
        <f t="shared" ref="C59:C86" si="7">PMT($B$10,$B$11,$B$5,$B$6,$B$12)</f>
        <v>-2124.7044711268277</v>
      </c>
      <c r="D59" s="4">
        <f t="shared" ref="D59:D86" si="8">PPMT($B$10,A59,$B$11,$B$5,$B$6,$B$12)</f>
        <v>-1684.158851907292</v>
      </c>
      <c r="E59" s="4">
        <f t="shared" ref="E59:E86" si="9">IPMT($B$10,A59,$B$11,$B$5,$B$6,$B$12)</f>
        <v>-440.54561921953541</v>
      </c>
      <c r="F59" s="4">
        <f>SUM($D$27:D59)</f>
        <v>-48818.684545563054</v>
      </c>
      <c r="G59" s="4">
        <f>Табл1[[#This Row],[Баланс на начало периода]]+Табл1[[#This Row],[Тело кредита]]</f>
        <v>51181.315454436946</v>
      </c>
      <c r="H59" s="20">
        <f>PV($B$10,$B$11-Табл1[[#This Row],[Период (№месяца)]]+1,$B$13,$B$6,$B$12)/IF(Табл1[[#This Row],[Период (№месяца)]]=1,1,1+$B$12*$B$10)</f>
        <v>52865.474306344069</v>
      </c>
      <c r="I59" s="4">
        <f>-FV($B$10,Табл1[[#This Row],[Период (№месяца)]],$B$13,$B$5,$B$12)/(1+$B$12*$B$10)</f>
        <v>51181.315454437208</v>
      </c>
      <c r="J5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52865.474306344055</v>
      </c>
      <c r="K59" s="4">
        <f>-($B$13*(1+$B$10*$B$12)*(1-(1+$B$10)^Табл1[[#This Row],[Период (№месяца)]])/$B$10-$B$5*((1+$B$10)^Табл1[[#This Row],[Период (№месяца)]]))/(1+$B$12*$B$10)</f>
        <v>51181.315454437223</v>
      </c>
      <c r="M59" s="5">
        <v>33</v>
      </c>
      <c r="N59" s="32">
        <f t="shared" si="3"/>
        <v>-440.54561921953376</v>
      </c>
      <c r="O59" s="30">
        <f t="shared" si="4"/>
        <v>-440.54561921953729</v>
      </c>
      <c r="P59" s="30">
        <f t="shared" si="5"/>
        <v>-440.54561921953734</v>
      </c>
      <c r="Q59" s="30">
        <f t="shared" si="6"/>
        <v>-440.54561921953382</v>
      </c>
      <c r="R59" s="30">
        <f>Табл1[[#This Row],[Процент]]-O59</f>
        <v>1.8758328224066645E-12</v>
      </c>
      <c r="S59" s="21"/>
      <c r="T59" s="21"/>
    </row>
    <row r="60" spans="1:20" x14ac:dyDescent="0.25">
      <c r="A60" s="3">
        <f>IF(ROW()-ROW(Табл1[[#Headers],[Период (№месяца)]])&gt;$B$11,0,ROW()-ROW(Табл1[[#Headers],[Период (№месяца)]]))</f>
        <v>34</v>
      </c>
      <c r="B60" s="4">
        <f>$B$5+SUM($D$26:D59)</f>
        <v>51181.315454436946</v>
      </c>
      <c r="C60" s="4">
        <f t="shared" si="7"/>
        <v>-2124.7044711268277</v>
      </c>
      <c r="D60" s="4">
        <f t="shared" si="8"/>
        <v>-1698.1935090065197</v>
      </c>
      <c r="E60" s="4">
        <f t="shared" si="9"/>
        <v>-426.51096212030802</v>
      </c>
      <c r="F60" s="4">
        <f>SUM($D$27:D60)</f>
        <v>-50516.87805456957</v>
      </c>
      <c r="G60" s="4">
        <f>Табл1[[#This Row],[Баланс на начало периода]]+Табл1[[#This Row],[Тело кредита]]</f>
        <v>49483.12194543043</v>
      </c>
      <c r="H60" s="20">
        <f>PV($B$10,$B$11-Табл1[[#This Row],[Период (№месяца)]]+1,$B$13,$B$6,$B$12)/IF(Табл1[[#This Row],[Период (№месяца)]]=1,1,1+$B$12*$B$10)</f>
        <v>51181.315454436764</v>
      </c>
      <c r="I60" s="4">
        <f>-FV($B$10,Табл1[[#This Row],[Период (№месяца)]],$B$13,$B$5,$B$12)/(1+$B$12*$B$10)</f>
        <v>49483.12194543067</v>
      </c>
      <c r="J6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51181.315454436772</v>
      </c>
      <c r="K60" s="4">
        <f>-($B$13*(1+$B$10*$B$12)*(1-(1+$B$10)^Табл1[[#This Row],[Период (№месяца)]])/$B$10-$B$5*((1+$B$10)^Табл1[[#This Row],[Период (№месяца)]]))/(1+$B$12*$B$10)</f>
        <v>49483.121945430685</v>
      </c>
      <c r="M60" s="5">
        <v>34</v>
      </c>
      <c r="N60" s="32">
        <f t="shared" si="3"/>
        <v>-426.51096212030643</v>
      </c>
      <c r="O60" s="30">
        <f t="shared" si="4"/>
        <v>-426.51096212031007</v>
      </c>
      <c r="P60" s="30">
        <f t="shared" si="5"/>
        <v>-426.51096212031018</v>
      </c>
      <c r="Q60" s="30">
        <f t="shared" si="6"/>
        <v>-426.51096212030643</v>
      </c>
      <c r="R60" s="30">
        <f>Табл1[[#This Row],[Процент]]-O60</f>
        <v>2.0463630789890885E-12</v>
      </c>
      <c r="S60" s="21"/>
      <c r="T60" s="21"/>
    </row>
    <row r="61" spans="1:20" x14ac:dyDescent="0.25">
      <c r="A61" s="3">
        <f>IF(ROW()-ROW(Табл1[[#Headers],[Период (№месяца)]])&gt;$B$11,0,ROW()-ROW(Табл1[[#Headers],[Период (№месяца)]]))</f>
        <v>35</v>
      </c>
      <c r="B61" s="4">
        <f>$B$5+SUM($D$26:D60)</f>
        <v>49483.12194543043</v>
      </c>
      <c r="C61" s="4">
        <f t="shared" si="7"/>
        <v>-2124.7044711268277</v>
      </c>
      <c r="D61" s="4">
        <f t="shared" si="8"/>
        <v>-1712.3451215815739</v>
      </c>
      <c r="E61" s="4">
        <f t="shared" si="9"/>
        <v>-412.35934954525368</v>
      </c>
      <c r="F61" s="4">
        <f>SUM($D$27:D61)</f>
        <v>-52229.223176151143</v>
      </c>
      <c r="G61" s="4">
        <f>Табл1[[#This Row],[Баланс на начало периода]]+Табл1[[#This Row],[Тело кредита]]</f>
        <v>47770.776823848857</v>
      </c>
      <c r="H61" s="20">
        <f>PV($B$10,$B$11-Табл1[[#This Row],[Период (№месяца)]]+1,$B$13,$B$6,$B$12)/IF(Табл1[[#This Row],[Период (№месяца)]]=1,1,1+$B$12*$B$10)</f>
        <v>49483.121945430234</v>
      </c>
      <c r="I61" s="4">
        <f>-FV($B$10,Табл1[[#This Row],[Период (№месяца)]],$B$13,$B$5,$B$12)/(1+$B$12*$B$10)</f>
        <v>47770.776823849141</v>
      </c>
      <c r="J6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49483.121945430226</v>
      </c>
      <c r="K61" s="4">
        <f>-($B$13*(1+$B$10*$B$12)*(1-(1+$B$10)^Табл1[[#This Row],[Период (№месяца)]])/$B$10-$B$5*((1+$B$10)^Табл1[[#This Row],[Период (№месяца)]]))/(1+$B$12*$B$10)</f>
        <v>47770.776823849141</v>
      </c>
      <c r="M61" s="5">
        <v>35</v>
      </c>
      <c r="N61" s="32">
        <f t="shared" si="3"/>
        <v>-412.35934954525186</v>
      </c>
      <c r="O61" s="30">
        <f t="shared" si="4"/>
        <v>-412.35934954525555</v>
      </c>
      <c r="P61" s="30">
        <f t="shared" si="5"/>
        <v>-412.35934954525572</v>
      </c>
      <c r="Q61" s="30">
        <f t="shared" si="6"/>
        <v>-412.35934954525192</v>
      </c>
      <c r="R61" s="30">
        <f>Табл1[[#This Row],[Процент]]-O61</f>
        <v>1.8758328224066645E-12</v>
      </c>
      <c r="S61" s="21"/>
      <c r="T61" s="21"/>
    </row>
    <row r="62" spans="1:20" x14ac:dyDescent="0.25">
      <c r="A62" s="3">
        <f>IF(ROW()-ROW(Табл1[[#Headers],[Период (№месяца)]])&gt;$B$11,0,ROW()-ROW(Табл1[[#Headers],[Период (№месяца)]]))</f>
        <v>36</v>
      </c>
      <c r="B62" s="4">
        <f>$B$5+SUM($D$26:D61)</f>
        <v>47770.776823848857</v>
      </c>
      <c r="C62" s="4">
        <f t="shared" si="7"/>
        <v>-2124.7044711268277</v>
      </c>
      <c r="D62" s="4">
        <f t="shared" si="8"/>
        <v>-1726.6146642614203</v>
      </c>
      <c r="E62" s="4">
        <f t="shared" si="9"/>
        <v>-398.08980686540724</v>
      </c>
      <c r="F62" s="4">
        <f>SUM($D$27:D62)</f>
        <v>-53955.837840412561</v>
      </c>
      <c r="G62" s="4">
        <f>Табл1[[#This Row],[Баланс на начало периода]]+Табл1[[#This Row],[Тело кредита]]</f>
        <v>46044.162159587439</v>
      </c>
      <c r="H62" s="20">
        <f>PV($B$10,$B$11-Табл1[[#This Row],[Период (№месяца)]]+1,$B$13,$B$6,$B$12)/IF(Табл1[[#This Row],[Период (№месяца)]]=1,1,1+$B$12*$B$10)</f>
        <v>47770.776823848653</v>
      </c>
      <c r="I62" s="4">
        <f>-FV($B$10,Табл1[[#This Row],[Период (№месяца)]],$B$13,$B$5,$B$12)/(1+$B$12*$B$10)</f>
        <v>46044.162159587737</v>
      </c>
      <c r="J6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47770.776823848639</v>
      </c>
      <c r="K62" s="4">
        <f>-($B$13*(1+$B$10*$B$12)*(1-(1+$B$10)^Табл1[[#This Row],[Период (№месяца)]])/$B$10-$B$5*((1+$B$10)^Табл1[[#This Row],[Период (№месяца)]]))/(1+$B$12*$B$10)</f>
        <v>46044.162159587737</v>
      </c>
      <c r="M62" s="5">
        <v>36</v>
      </c>
      <c r="N62" s="32">
        <f t="shared" si="3"/>
        <v>-398.08980686540531</v>
      </c>
      <c r="O62" s="30">
        <f t="shared" si="4"/>
        <v>-398.08980686540951</v>
      </c>
      <c r="P62" s="30">
        <f t="shared" si="5"/>
        <v>-398.08980686540957</v>
      </c>
      <c r="Q62" s="30">
        <f t="shared" si="6"/>
        <v>-398.08980686540531</v>
      </c>
      <c r="R62" s="30">
        <f>Табл1[[#This Row],[Процент]]-O62</f>
        <v>2.2737367544323206E-12</v>
      </c>
      <c r="S62" s="21"/>
      <c r="T62" s="21"/>
    </row>
    <row r="63" spans="1:20" x14ac:dyDescent="0.25">
      <c r="A63" s="3">
        <f>IF(ROW()-ROW(Табл1[[#Headers],[Период (№месяца)]])&gt;$B$11,0,ROW()-ROW(Табл1[[#Headers],[Период (№месяца)]]))</f>
        <v>37</v>
      </c>
      <c r="B63" s="4">
        <f>$B$5+SUM($D$26:D62)</f>
        <v>46044.162159587439</v>
      </c>
      <c r="C63" s="4">
        <f t="shared" si="7"/>
        <v>-2124.7044711268277</v>
      </c>
      <c r="D63" s="4">
        <f t="shared" si="8"/>
        <v>-1741.0031197969322</v>
      </c>
      <c r="E63" s="4">
        <f t="shared" si="9"/>
        <v>-383.70135132989537</v>
      </c>
      <c r="F63" s="4">
        <f>SUM($D$27:D63)</f>
        <v>-55696.840960209491</v>
      </c>
      <c r="G63" s="4">
        <f>Табл1[[#This Row],[Баланс на начало периода]]+Табл1[[#This Row],[Тело кредита]]</f>
        <v>44303.159039790509</v>
      </c>
      <c r="H63" s="20">
        <f>PV($B$10,$B$11-Табл1[[#This Row],[Период (№месяца)]]+1,$B$13,$B$6,$B$12)/IF(Табл1[[#This Row],[Период (№месяца)]]=1,1,1+$B$12*$B$10)</f>
        <v>46044.162159587257</v>
      </c>
      <c r="I63" s="4">
        <f>-FV($B$10,Табл1[[#This Row],[Период (№месяца)]],$B$13,$B$5,$B$12)/(1+$B$12*$B$10)</f>
        <v>44303.159039790815</v>
      </c>
      <c r="J6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46044.162159587257</v>
      </c>
      <c r="K63" s="4">
        <f>-($B$13*(1+$B$10*$B$12)*(1-(1+$B$10)^Табл1[[#This Row],[Период (№месяца)]])/$B$10-$B$5*((1+$B$10)^Табл1[[#This Row],[Период (№месяца)]]))/(1+$B$12*$B$10)</f>
        <v>44303.159039790815</v>
      </c>
      <c r="M63" s="5">
        <v>37</v>
      </c>
      <c r="N63" s="32">
        <f t="shared" si="3"/>
        <v>-383.70135132989378</v>
      </c>
      <c r="O63" s="30">
        <f t="shared" si="4"/>
        <v>-383.70135132989782</v>
      </c>
      <c r="P63" s="30">
        <f t="shared" si="5"/>
        <v>-383.70135132989782</v>
      </c>
      <c r="Q63" s="30">
        <f t="shared" si="6"/>
        <v>-383.7013513298939</v>
      </c>
      <c r="R63" s="30">
        <f>Табл1[[#This Row],[Процент]]-O63</f>
        <v>2.4442670110147446E-12</v>
      </c>
      <c r="S63" s="21"/>
      <c r="T63" s="21"/>
    </row>
    <row r="64" spans="1:20" x14ac:dyDescent="0.25">
      <c r="A64" s="3">
        <f>IF(ROW()-ROW(Табл1[[#Headers],[Период (№месяца)]])&gt;$B$11,0,ROW()-ROW(Табл1[[#Headers],[Период (№месяца)]]))</f>
        <v>38</v>
      </c>
      <c r="B64" s="4">
        <f>$B$5+SUM($D$26:D63)</f>
        <v>44303.159039790509</v>
      </c>
      <c r="C64" s="4">
        <f t="shared" si="7"/>
        <v>-2124.7044711268277</v>
      </c>
      <c r="D64" s="4">
        <f t="shared" si="8"/>
        <v>-1755.5114791285732</v>
      </c>
      <c r="E64" s="4">
        <f t="shared" si="9"/>
        <v>-369.19299199825429</v>
      </c>
      <c r="F64" s="4">
        <f>SUM($D$27:D64)</f>
        <v>-57452.352439338065</v>
      </c>
      <c r="G64" s="4">
        <f>Табл1[[#This Row],[Баланс на начало периода]]+Табл1[[#This Row],[Тело кредита]]</f>
        <v>42547.647560661935</v>
      </c>
      <c r="H64" s="20">
        <f>PV($B$10,$B$11-Табл1[[#This Row],[Период (№месяца)]]+1,$B$13,$B$6,$B$12)/IF(Табл1[[#This Row],[Период (№месяца)]]=1,1,1+$B$12*$B$10)</f>
        <v>44303.159039790327</v>
      </c>
      <c r="I64" s="4">
        <f>-FV($B$10,Табл1[[#This Row],[Период (№месяца)]],$B$13,$B$5,$B$12)/(1+$B$12*$B$10)</f>
        <v>42547.647560662241</v>
      </c>
      <c r="J6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44303.159039790335</v>
      </c>
      <c r="K64" s="4">
        <f>-($B$13*(1+$B$10*$B$12)*(1-(1+$B$10)^Табл1[[#This Row],[Период (№месяца)]])/$B$10-$B$5*((1+$B$10)^Табл1[[#This Row],[Период (№месяца)]]))/(1+$B$12*$B$10)</f>
        <v>42547.647560662241</v>
      </c>
      <c r="M64" s="5">
        <v>38</v>
      </c>
      <c r="N64" s="32">
        <f t="shared" si="3"/>
        <v>-369.19299199825275</v>
      </c>
      <c r="O64" s="30">
        <f t="shared" si="4"/>
        <v>-369.19299199825679</v>
      </c>
      <c r="P64" s="30">
        <f t="shared" si="5"/>
        <v>-369.1929919982569</v>
      </c>
      <c r="Q64" s="30">
        <f t="shared" si="6"/>
        <v>-369.19299199825286</v>
      </c>
      <c r="R64" s="30">
        <f>Табл1[[#This Row],[Процент]]-O64</f>
        <v>2.5011104298755527E-12</v>
      </c>
      <c r="S64" s="21"/>
      <c r="T64" s="21"/>
    </row>
    <row r="65" spans="1:20" x14ac:dyDescent="0.25">
      <c r="A65" s="3">
        <f>IF(ROW()-ROW(Табл1[[#Headers],[Период (№месяца)]])&gt;$B$11,0,ROW()-ROW(Табл1[[#Headers],[Период (№месяца)]]))</f>
        <v>39</v>
      </c>
      <c r="B65" s="4">
        <f>$B$5+SUM($D$26:D64)</f>
        <v>42547.647560661935</v>
      </c>
      <c r="C65" s="4">
        <f t="shared" si="7"/>
        <v>-2124.7044711268277</v>
      </c>
      <c r="D65" s="4">
        <f t="shared" si="8"/>
        <v>-1770.1407414546447</v>
      </c>
      <c r="E65" s="4">
        <f t="shared" si="9"/>
        <v>-354.56372967218283</v>
      </c>
      <c r="F65" s="4">
        <f>SUM($D$27:D65)</f>
        <v>-59222.493180792706</v>
      </c>
      <c r="G65" s="4">
        <f>Табл1[[#This Row],[Баланс на начало периода]]+Табл1[[#This Row],[Тело кредита]]</f>
        <v>40777.506819207294</v>
      </c>
      <c r="H65" s="20">
        <f>PV($B$10,$B$11-Табл1[[#This Row],[Период (№месяца)]]+1,$B$13,$B$6,$B$12)/IF(Табл1[[#This Row],[Период (№месяца)]]=1,1,1+$B$12*$B$10)</f>
        <v>42547.647560661797</v>
      </c>
      <c r="I65" s="4">
        <f>-FV($B$10,Табл1[[#This Row],[Период (№месяца)]],$B$13,$B$5,$B$12)/(1+$B$12*$B$10)</f>
        <v>40777.506819207629</v>
      </c>
      <c r="J6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42547.647560661804</v>
      </c>
      <c r="K65" s="4">
        <f>-($B$13*(1+$B$10*$B$12)*(1-(1+$B$10)^Табл1[[#This Row],[Период (№месяца)]])/$B$10-$B$5*((1+$B$10)^Табл1[[#This Row],[Период (№месяца)]]))/(1+$B$12*$B$10)</f>
        <v>40777.506819207629</v>
      </c>
      <c r="M65" s="5">
        <v>39</v>
      </c>
      <c r="N65" s="32">
        <f t="shared" si="3"/>
        <v>-354.56372967218169</v>
      </c>
      <c r="O65" s="30">
        <f t="shared" si="4"/>
        <v>-354.56372967218533</v>
      </c>
      <c r="P65" s="30">
        <f t="shared" si="5"/>
        <v>-354.56372967218539</v>
      </c>
      <c r="Q65" s="30">
        <f t="shared" si="6"/>
        <v>-354.56372967218181</v>
      </c>
      <c r="R65" s="30">
        <f>Табл1[[#This Row],[Процент]]-O65</f>
        <v>2.5011104298755527E-12</v>
      </c>
      <c r="S65" s="21"/>
      <c r="T65" s="21"/>
    </row>
    <row r="66" spans="1:20" x14ac:dyDescent="0.25">
      <c r="A66" s="3">
        <f>IF(ROW()-ROW(Табл1[[#Headers],[Период (№месяца)]])&gt;$B$11,0,ROW()-ROW(Табл1[[#Headers],[Период (№месяца)]]))</f>
        <v>40</v>
      </c>
      <c r="B66" s="4">
        <f>$B$5+SUM($D$26:D65)</f>
        <v>40777.506819207294</v>
      </c>
      <c r="C66" s="4">
        <f t="shared" si="7"/>
        <v>-2124.7044711268277</v>
      </c>
      <c r="D66" s="4">
        <f t="shared" si="8"/>
        <v>-1784.8919143001001</v>
      </c>
      <c r="E66" s="4">
        <f t="shared" si="9"/>
        <v>-339.81255682672747</v>
      </c>
      <c r="F66" s="4">
        <f>SUM($D$27:D66)</f>
        <v>-61007.385095092803</v>
      </c>
      <c r="G66" s="4">
        <f>Табл1[[#This Row],[Баланс на начало периода]]+Табл1[[#This Row],[Тело кредита]]</f>
        <v>38992.614904907197</v>
      </c>
      <c r="H66" s="20">
        <f>PV($B$10,$B$11-Табл1[[#This Row],[Период (№месяца)]]+1,$B$13,$B$6,$B$12)/IF(Табл1[[#This Row],[Период (№месяца)]]=1,1,1+$B$12*$B$10)</f>
        <v>40777.506819207098</v>
      </c>
      <c r="I66" s="4">
        <f>-FV($B$10,Табл1[[#This Row],[Период (№месяца)]],$B$13,$B$5,$B$12)/(1+$B$12*$B$10)</f>
        <v>38992.614904907517</v>
      </c>
      <c r="J6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40777.506819207098</v>
      </c>
      <c r="K66" s="4">
        <f>-($B$13*(1+$B$10*$B$12)*(1-(1+$B$10)^Табл1[[#This Row],[Период (№месяца)]])/$B$10-$B$5*((1+$B$10)^Табл1[[#This Row],[Период (№месяца)]]))/(1+$B$12*$B$10)</f>
        <v>38992.614904907517</v>
      </c>
      <c r="M66" s="5">
        <v>40</v>
      </c>
      <c r="N66" s="32">
        <f t="shared" si="3"/>
        <v>-339.81255682672582</v>
      </c>
      <c r="O66" s="30">
        <f t="shared" si="4"/>
        <v>-339.81255682673026</v>
      </c>
      <c r="P66" s="30">
        <f t="shared" si="5"/>
        <v>-339.8125568267302</v>
      </c>
      <c r="Q66" s="30">
        <f t="shared" si="6"/>
        <v>-339.81255682672577</v>
      </c>
      <c r="R66" s="30">
        <f>Табл1[[#This Row],[Процент]]-O66</f>
        <v>2.7853275241795927E-12</v>
      </c>
      <c r="S66" s="21"/>
      <c r="T66" s="21"/>
    </row>
    <row r="67" spans="1:20" x14ac:dyDescent="0.25">
      <c r="A67" s="3">
        <f>IF(ROW()-ROW(Табл1[[#Headers],[Период (№месяца)]])&gt;$B$11,0,ROW()-ROW(Табл1[[#Headers],[Период (№месяца)]]))</f>
        <v>41</v>
      </c>
      <c r="B67" s="4">
        <f>$B$5+SUM($D$26:D66)</f>
        <v>38992.614904907197</v>
      </c>
      <c r="C67" s="4">
        <f t="shared" si="7"/>
        <v>-2124.7044711268277</v>
      </c>
      <c r="D67" s="4">
        <f t="shared" si="8"/>
        <v>-1799.7660135859344</v>
      </c>
      <c r="E67" s="4">
        <f t="shared" si="9"/>
        <v>-324.93845754089335</v>
      </c>
      <c r="F67" s="4">
        <f>SUM($D$27:D67)</f>
        <v>-62807.151108678736</v>
      </c>
      <c r="G67" s="4">
        <f>Табл1[[#This Row],[Баланс на начало периода]]+Табл1[[#This Row],[Тело кредита]]</f>
        <v>37192.848891321264</v>
      </c>
      <c r="H67" s="20">
        <f>PV($B$10,$B$11-Табл1[[#This Row],[Период (№месяца)]]+1,$B$13,$B$6,$B$12)/IF(Табл1[[#This Row],[Период (№месяца)]]=1,1,1+$B$12*$B$10)</f>
        <v>38992.614904907023</v>
      </c>
      <c r="I67" s="4">
        <f>-FV($B$10,Табл1[[#This Row],[Период (№месяца)]],$B$13,$B$5,$B$12)/(1+$B$12*$B$10)</f>
        <v>37192.848891321613</v>
      </c>
      <c r="J6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38992.614904907015</v>
      </c>
      <c r="K67" s="4">
        <f>-($B$13*(1+$B$10*$B$12)*(1-(1+$B$10)^Табл1[[#This Row],[Период (№месяца)]])/$B$10-$B$5*((1+$B$10)^Табл1[[#This Row],[Период (№месяца)]]))/(1+$B$12*$B$10)</f>
        <v>37192.848891321628</v>
      </c>
      <c r="M67" s="5">
        <v>41</v>
      </c>
      <c r="N67" s="32">
        <f t="shared" si="3"/>
        <v>-324.93845754089182</v>
      </c>
      <c r="O67" s="30">
        <f t="shared" si="4"/>
        <v>-324.93845754089597</v>
      </c>
      <c r="P67" s="30">
        <f t="shared" si="5"/>
        <v>-324.93845754089614</v>
      </c>
      <c r="Q67" s="30">
        <f t="shared" si="6"/>
        <v>-324.93845754089193</v>
      </c>
      <c r="R67" s="30">
        <f>Табл1[[#This Row],[Процент]]-O67</f>
        <v>2.6147972675971687E-12</v>
      </c>
      <c r="S67" s="21"/>
      <c r="T67" s="21"/>
    </row>
    <row r="68" spans="1:20" x14ac:dyDescent="0.25">
      <c r="A68" s="3">
        <f>IF(ROW()-ROW(Табл1[[#Headers],[Период (№месяца)]])&gt;$B$11,0,ROW()-ROW(Табл1[[#Headers],[Период (№месяца)]]))</f>
        <v>42</v>
      </c>
      <c r="B68" s="4">
        <f>$B$5+SUM($D$26:D67)</f>
        <v>37192.848891321264</v>
      </c>
      <c r="C68" s="4">
        <f t="shared" si="7"/>
        <v>-2124.7044711268277</v>
      </c>
      <c r="D68" s="4">
        <f t="shared" si="8"/>
        <v>-1814.7640636991503</v>
      </c>
      <c r="E68" s="4">
        <f t="shared" si="9"/>
        <v>-309.94040742767714</v>
      </c>
      <c r="F68" s="4">
        <f>SUM($D$27:D68)</f>
        <v>-64621.915172377885</v>
      </c>
      <c r="G68" s="4">
        <f>Табл1[[#This Row],[Баланс на начало периода]]+Табл1[[#This Row],[Тело кредита]]</f>
        <v>35378.084827622115</v>
      </c>
      <c r="H68" s="20">
        <f>PV($B$10,$B$11-Табл1[[#This Row],[Период (№месяца)]]+1,$B$13,$B$6,$B$12)/IF(Табл1[[#This Row],[Период (№месяца)]]=1,1,1+$B$12*$B$10)</f>
        <v>37192.848891321126</v>
      </c>
      <c r="I68" s="4">
        <f>-FV($B$10,Табл1[[#This Row],[Период (№месяца)]],$B$13,$B$5,$B$12)/(1+$B$12*$B$10)</f>
        <v>35378.084827622442</v>
      </c>
      <c r="J6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37192.848891321133</v>
      </c>
      <c r="K68" s="4">
        <f>-($B$13*(1+$B$10*$B$12)*(1-(1+$B$10)^Табл1[[#This Row],[Период (№месяца)]])/$B$10-$B$5*((1+$B$10)^Табл1[[#This Row],[Период (№месяца)]]))/(1+$B$12*$B$10)</f>
        <v>35378.084827622428</v>
      </c>
      <c r="M68" s="5">
        <v>42</v>
      </c>
      <c r="N68" s="32">
        <f t="shared" si="3"/>
        <v>-309.94040742767612</v>
      </c>
      <c r="O68" s="30">
        <f t="shared" si="4"/>
        <v>-309.9404074276801</v>
      </c>
      <c r="P68" s="30">
        <f t="shared" si="5"/>
        <v>-309.94040742768004</v>
      </c>
      <c r="Q68" s="30">
        <f t="shared" si="6"/>
        <v>-309.94040742767606</v>
      </c>
      <c r="R68" s="30">
        <f>Табл1[[#This Row],[Процент]]-O68</f>
        <v>2.9558577807620168E-12</v>
      </c>
      <c r="S68" s="21"/>
      <c r="T68" s="21"/>
    </row>
    <row r="69" spans="1:20" x14ac:dyDescent="0.25">
      <c r="A69" s="3">
        <f>IF(ROW()-ROW(Табл1[[#Headers],[Период (№месяца)]])&gt;$B$11,0,ROW()-ROW(Табл1[[#Headers],[Период (№месяца)]]))</f>
        <v>43</v>
      </c>
      <c r="B69" s="4">
        <f>$B$5+SUM($D$26:D68)</f>
        <v>35378.084827622115</v>
      </c>
      <c r="C69" s="4">
        <f t="shared" si="7"/>
        <v>-2124.7044711268277</v>
      </c>
      <c r="D69" s="4">
        <f t="shared" si="8"/>
        <v>-1829.8870975633101</v>
      </c>
      <c r="E69" s="4">
        <f t="shared" si="9"/>
        <v>-294.81737356351761</v>
      </c>
      <c r="F69" s="4">
        <f>SUM($D$27:D69)</f>
        <v>-66451.802269941196</v>
      </c>
      <c r="G69" s="4">
        <f>Табл1[[#This Row],[Баланс на начало периода]]+Табл1[[#This Row],[Тело кредита]]</f>
        <v>33548.197730058804</v>
      </c>
      <c r="H69" s="20">
        <f>PV($B$10,$B$11-Табл1[[#This Row],[Период (№месяца)]]+1,$B$13,$B$6,$B$12)/IF(Табл1[[#This Row],[Период (№месяца)]]=1,1,1+$B$12*$B$10)</f>
        <v>35378.084827621999</v>
      </c>
      <c r="I69" s="4">
        <f>-FV($B$10,Табл1[[#This Row],[Период (№месяца)]],$B$13,$B$5,$B$12)/(1+$B$12*$B$10)</f>
        <v>33548.197730059168</v>
      </c>
      <c r="J6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35378.084827621977</v>
      </c>
      <c r="K69" s="4">
        <f>-($B$13*(1+$B$10*$B$12)*(1-(1+$B$10)^Табл1[[#This Row],[Период (№месяца)]])/$B$10-$B$5*((1+$B$10)^Табл1[[#This Row],[Период (№месяца)]]))/(1+$B$12*$B$10)</f>
        <v>33548.197730059168</v>
      </c>
      <c r="M69" s="5">
        <v>43</v>
      </c>
      <c r="N69" s="32">
        <f t="shared" si="3"/>
        <v>-294.81737356351647</v>
      </c>
      <c r="O69" s="30">
        <f t="shared" si="4"/>
        <v>-294.81737356352033</v>
      </c>
      <c r="P69" s="30">
        <f t="shared" si="5"/>
        <v>-294.81737356352016</v>
      </c>
      <c r="Q69" s="30">
        <f t="shared" si="6"/>
        <v>-294.81737356351641</v>
      </c>
      <c r="R69" s="30">
        <f>Табл1[[#This Row],[Процент]]-O69</f>
        <v>2.7284841053187847E-12</v>
      </c>
      <c r="S69" s="21"/>
      <c r="T69" s="21"/>
    </row>
    <row r="70" spans="1:20" x14ac:dyDescent="0.25">
      <c r="A70" s="3">
        <f>IF(ROW()-ROW(Табл1[[#Headers],[Период (№месяца)]])&gt;$B$11,0,ROW()-ROW(Табл1[[#Headers],[Период (№месяца)]]))</f>
        <v>44</v>
      </c>
      <c r="B70" s="4">
        <f>$B$5+SUM($D$26:D69)</f>
        <v>33548.197730058804</v>
      </c>
      <c r="C70" s="4">
        <f t="shared" si="7"/>
        <v>-2124.7044711268277</v>
      </c>
      <c r="D70" s="4">
        <f t="shared" si="8"/>
        <v>-1845.136156709671</v>
      </c>
      <c r="E70" s="4">
        <f t="shared" si="9"/>
        <v>-279.56831441715667</v>
      </c>
      <c r="F70" s="4">
        <f>SUM($D$27:D70)</f>
        <v>-68296.938426650871</v>
      </c>
      <c r="G70" s="4">
        <f>Табл1[[#This Row],[Баланс на начало периода]]+Табл1[[#This Row],[Тело кредита]]</f>
        <v>31703.061573349132</v>
      </c>
      <c r="H70" s="20">
        <f>PV($B$10,$B$11-Табл1[[#This Row],[Период (№месяца)]]+1,$B$13,$B$6,$B$12)/IF(Табл1[[#This Row],[Период (№месяца)]]=1,1,1+$B$12*$B$10)</f>
        <v>33548.197730058659</v>
      </c>
      <c r="I70" s="4">
        <f>-FV($B$10,Табл1[[#This Row],[Период (№месяца)]],$B$13,$B$5,$B$12)/(1+$B$12*$B$10)</f>
        <v>31703.061573349492</v>
      </c>
      <c r="J7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33548.197730058659</v>
      </c>
      <c r="K70" s="4">
        <f>-($B$13*(1+$B$10*$B$12)*(1-(1+$B$10)^Табл1[[#This Row],[Период (№месяца)]])/$B$10-$B$5*((1+$B$10)^Табл1[[#This Row],[Период (№месяца)]]))/(1+$B$12*$B$10)</f>
        <v>31703.061573349492</v>
      </c>
      <c r="M70" s="5">
        <v>44</v>
      </c>
      <c r="N70" s="32">
        <f t="shared" si="3"/>
        <v>-279.56831441715548</v>
      </c>
      <c r="O70" s="30">
        <f t="shared" si="4"/>
        <v>-279.56831441715974</v>
      </c>
      <c r="P70" s="30">
        <f t="shared" si="5"/>
        <v>-279.56831441715963</v>
      </c>
      <c r="Q70" s="30">
        <f t="shared" si="6"/>
        <v>-279.56831441715553</v>
      </c>
      <c r="R70" s="30">
        <f>Табл1[[#This Row],[Процент]]-O70</f>
        <v>3.0695446184836328E-12</v>
      </c>
      <c r="S70" s="21"/>
      <c r="T70" s="21"/>
    </row>
    <row r="71" spans="1:20" x14ac:dyDescent="0.25">
      <c r="A71" s="3">
        <f>IF(ROW()-ROW(Табл1[[#Headers],[Период (№месяца)]])&gt;$B$11,0,ROW()-ROW(Табл1[[#Headers],[Период (№месяца)]]))</f>
        <v>45</v>
      </c>
      <c r="B71" s="4">
        <f>$B$5+SUM($D$26:D70)</f>
        <v>31703.061573349129</v>
      </c>
      <c r="C71" s="4">
        <f t="shared" si="7"/>
        <v>-2124.7044711268277</v>
      </c>
      <c r="D71" s="4">
        <f t="shared" si="8"/>
        <v>-1860.5122913489183</v>
      </c>
      <c r="E71" s="4">
        <f t="shared" si="9"/>
        <v>-264.19217977790942</v>
      </c>
      <c r="F71" s="4">
        <f>SUM($D$27:D71)</f>
        <v>-70157.450717999789</v>
      </c>
      <c r="G71" s="4">
        <f>Табл1[[#This Row],[Баланс на начало периода]]+Табл1[[#This Row],[Тело кредита]]</f>
        <v>29842.549282000211</v>
      </c>
      <c r="H71" s="20">
        <f>PV($B$10,$B$11-Табл1[[#This Row],[Период (№месяца)]]+1,$B$13,$B$6,$B$12)/IF(Табл1[[#This Row],[Период (№месяца)]]=1,1,1+$B$12*$B$10)</f>
        <v>31703.061573349001</v>
      </c>
      <c r="I71" s="4">
        <f>-FV($B$10,Табл1[[#This Row],[Период (№месяца)]],$B$13,$B$5,$B$12)/(1+$B$12*$B$10)</f>
        <v>29842.549282000618</v>
      </c>
      <c r="J7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31703.061573349012</v>
      </c>
      <c r="K71" s="4">
        <f>-($B$13*(1+$B$10*$B$12)*(1-(1+$B$10)^Табл1[[#This Row],[Период (№месяца)]])/$B$10-$B$5*((1+$B$10)^Табл1[[#This Row],[Период (№месяца)]]))/(1+$B$12*$B$10)</f>
        <v>29842.549282000633</v>
      </c>
      <c r="M71" s="5">
        <v>45</v>
      </c>
      <c r="N71" s="32">
        <f t="shared" si="3"/>
        <v>-264.19217977790845</v>
      </c>
      <c r="O71" s="30">
        <f t="shared" si="4"/>
        <v>-264.19217977791243</v>
      </c>
      <c r="P71" s="30">
        <f t="shared" si="5"/>
        <v>-264.19217977791232</v>
      </c>
      <c r="Q71" s="30">
        <f t="shared" si="6"/>
        <v>-264.19217977790845</v>
      </c>
      <c r="R71" s="30">
        <f>Табл1[[#This Row],[Процент]]-O71</f>
        <v>3.0127011996228248E-12</v>
      </c>
      <c r="S71" s="21"/>
      <c r="T71" s="21"/>
    </row>
    <row r="72" spans="1:20" x14ac:dyDescent="0.25">
      <c r="A72" s="3">
        <f>IF(ROW()-ROW(Табл1[[#Headers],[Период (№месяца)]])&gt;$B$11,0,ROW()-ROW(Табл1[[#Headers],[Период (№месяца)]]))</f>
        <v>46</v>
      </c>
      <c r="B72" s="4">
        <f>$B$5+SUM($D$26:D71)</f>
        <v>29842.549282000211</v>
      </c>
      <c r="C72" s="4">
        <f t="shared" si="7"/>
        <v>-2124.7044711268277</v>
      </c>
      <c r="D72" s="4">
        <f t="shared" si="8"/>
        <v>-1876.0165604434924</v>
      </c>
      <c r="E72" s="4">
        <f t="shared" si="9"/>
        <v>-248.6879106833351</v>
      </c>
      <c r="F72" s="4">
        <f>SUM($D$27:D72)</f>
        <v>-72033.467278443277</v>
      </c>
      <c r="G72" s="4">
        <f>Табл1[[#This Row],[Баланс на начало периода]]+Табл1[[#This Row],[Тело кредита]]</f>
        <v>27966.532721556719</v>
      </c>
      <c r="H72" s="20">
        <f>PV($B$10,$B$11-Табл1[[#This Row],[Период (№месяца)]]+1,$B$13,$B$6,$B$12)/IF(Табл1[[#This Row],[Период (№месяца)]]=1,1,1+$B$12*$B$10)</f>
        <v>29842.549282000084</v>
      </c>
      <c r="I72" s="4">
        <f>-FV($B$10,Табл1[[#This Row],[Период (№месяца)]],$B$13,$B$5,$B$12)/(1+$B$12*$B$10)</f>
        <v>27966.532721557087</v>
      </c>
      <c r="J7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29842.549282000076</v>
      </c>
      <c r="K72" s="4">
        <f>-($B$13*(1+$B$10*$B$12)*(1-(1+$B$10)^Табл1[[#This Row],[Период (№месяца)]])/$B$10-$B$5*((1+$B$10)^Табл1[[#This Row],[Период (№месяца)]]))/(1+$B$12*$B$10)</f>
        <v>27966.532721557087</v>
      </c>
      <c r="M72" s="5">
        <v>46</v>
      </c>
      <c r="N72" s="32">
        <f t="shared" si="3"/>
        <v>-248.68791068333397</v>
      </c>
      <c r="O72" s="30">
        <f t="shared" si="4"/>
        <v>-248.68791068333849</v>
      </c>
      <c r="P72" s="30">
        <f t="shared" si="5"/>
        <v>-248.68791068333866</v>
      </c>
      <c r="Q72" s="30">
        <f t="shared" si="6"/>
        <v>-248.68791068333394</v>
      </c>
      <c r="R72" s="30">
        <f>Табл1[[#This Row],[Процент]]-O72</f>
        <v>3.3821834222180769E-12</v>
      </c>
      <c r="S72" s="21"/>
      <c r="T72" s="21"/>
    </row>
    <row r="73" spans="1:20" x14ac:dyDescent="0.25">
      <c r="A73" s="3">
        <f>IF(ROW()-ROW(Табл1[[#Headers],[Период (№месяца)]])&gt;$B$11,0,ROW()-ROW(Табл1[[#Headers],[Период (№месяца)]]))</f>
        <v>47</v>
      </c>
      <c r="B73" s="4">
        <f>$B$5+SUM($D$26:D72)</f>
        <v>27966.532721556723</v>
      </c>
      <c r="C73" s="4">
        <f t="shared" si="7"/>
        <v>-2124.7044711268277</v>
      </c>
      <c r="D73" s="4">
        <f t="shared" si="8"/>
        <v>-1891.6500317805217</v>
      </c>
      <c r="E73" s="4">
        <f t="shared" si="9"/>
        <v>-233.054439346306</v>
      </c>
      <c r="F73" s="4">
        <f>SUM($D$27:D73)</f>
        <v>-73925.117310223795</v>
      </c>
      <c r="G73" s="4">
        <f>Табл1[[#This Row],[Баланс на начало периода]]+Табл1[[#This Row],[Тело кредита]]</f>
        <v>26074.882689776201</v>
      </c>
      <c r="H73" s="20">
        <f>PV($B$10,$B$11-Табл1[[#This Row],[Период (№месяца)]]+1,$B$13,$B$6,$B$12)/IF(Табл1[[#This Row],[Период (№месяца)]]=1,1,1+$B$12*$B$10)</f>
        <v>27966.532721556596</v>
      </c>
      <c r="I73" s="4">
        <f>-FV($B$10,Табл1[[#This Row],[Период (№месяца)]],$B$13,$B$5,$B$12)/(1+$B$12*$B$10)</f>
        <v>26074.882689776598</v>
      </c>
      <c r="J7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27966.532721556589</v>
      </c>
      <c r="K73" s="4">
        <f>-($B$13*(1+$B$10*$B$12)*(1-(1+$B$10)^Табл1[[#This Row],[Период (№месяца)]])/$B$10-$B$5*((1+$B$10)^Табл1[[#This Row],[Период (№месяца)]]))/(1+$B$12*$B$10)</f>
        <v>26074.882689776612</v>
      </c>
      <c r="M73" s="5">
        <v>47</v>
      </c>
      <c r="N73" s="32">
        <f t="shared" si="3"/>
        <v>-233.05443934630489</v>
      </c>
      <c r="O73" s="30">
        <f t="shared" si="4"/>
        <v>-233.05443934630907</v>
      </c>
      <c r="P73" s="30">
        <f t="shared" si="5"/>
        <v>-233.05443934630915</v>
      </c>
      <c r="Q73" s="30">
        <f t="shared" si="6"/>
        <v>-233.05443934630489</v>
      </c>
      <c r="R73" s="30">
        <f>Табл1[[#This Row],[Процент]]-O73</f>
        <v>3.0695446184836328E-12</v>
      </c>
      <c r="S73" s="21"/>
      <c r="T73" s="21"/>
    </row>
    <row r="74" spans="1:20" x14ac:dyDescent="0.25">
      <c r="A74" s="3">
        <f>IF(ROW()-ROW(Табл1[[#Headers],[Период (№месяца)]])&gt;$B$11,0,ROW()-ROW(Табл1[[#Headers],[Период (№месяца)]]))</f>
        <v>48</v>
      </c>
      <c r="B74" s="4">
        <f>$B$5+SUM($D$26:D73)</f>
        <v>26074.882689776205</v>
      </c>
      <c r="C74" s="4">
        <f t="shared" si="7"/>
        <v>-2124.7044711268277</v>
      </c>
      <c r="D74" s="4">
        <f t="shared" si="8"/>
        <v>-1907.4137820453593</v>
      </c>
      <c r="E74" s="4">
        <f t="shared" si="9"/>
        <v>-217.29068908146832</v>
      </c>
      <c r="F74" s="4">
        <f>SUM($D$27:D74)</f>
        <v>-75832.531092269157</v>
      </c>
      <c r="G74" s="4">
        <f>Табл1[[#This Row],[Баланс на начало периода]]+Табл1[[#This Row],[Тело кредита]]</f>
        <v>24167.468907730847</v>
      </c>
      <c r="H74" s="20">
        <f>PV($B$10,$B$11-Табл1[[#This Row],[Период (№месяца)]]+1,$B$13,$B$6,$B$12)/IF(Табл1[[#This Row],[Период (№месяца)]]=1,1,1+$B$12*$B$10)</f>
        <v>26074.882689776059</v>
      </c>
      <c r="I74" s="4">
        <f>-FV($B$10,Табл1[[#This Row],[Период (№месяца)]],$B$13,$B$5,$B$12)/(1+$B$12*$B$10)</f>
        <v>24167.468907731251</v>
      </c>
      <c r="J7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26074.882689776063</v>
      </c>
      <c r="K74" s="4">
        <f>-($B$13*(1+$B$10*$B$12)*(1-(1+$B$10)^Табл1[[#This Row],[Период (№месяца)]])/$B$10-$B$5*((1+$B$10)^Табл1[[#This Row],[Период (№месяца)]]))/(1+$B$12*$B$10)</f>
        <v>24167.468907731251</v>
      </c>
      <c r="M74" s="5">
        <v>48</v>
      </c>
      <c r="N74" s="32">
        <f t="shared" si="3"/>
        <v>-217.29068908146718</v>
      </c>
      <c r="O74" s="30">
        <f t="shared" si="4"/>
        <v>-217.29068908147164</v>
      </c>
      <c r="P74" s="30">
        <f t="shared" si="5"/>
        <v>-217.29068908147173</v>
      </c>
      <c r="Q74" s="30">
        <f t="shared" si="6"/>
        <v>-217.29068908146724</v>
      </c>
      <c r="R74" s="30">
        <f>Табл1[[#This Row],[Процент]]-O74</f>
        <v>3.3253400033572689E-12</v>
      </c>
      <c r="S74" s="21"/>
      <c r="T74" s="21"/>
    </row>
    <row r="75" spans="1:20" x14ac:dyDescent="0.25">
      <c r="A75" s="3">
        <f>IF(ROW()-ROW(Табл1[[#Headers],[Период (№месяца)]])&gt;$B$11,0,ROW()-ROW(Табл1[[#Headers],[Период (№месяца)]]))</f>
        <v>49</v>
      </c>
      <c r="B75" s="4">
        <f>$B$5+SUM($D$26:D74)</f>
        <v>24167.468907730843</v>
      </c>
      <c r="C75" s="4">
        <f t="shared" si="7"/>
        <v>-2124.7044711268277</v>
      </c>
      <c r="D75" s="4">
        <f t="shared" si="8"/>
        <v>-1923.3088968957372</v>
      </c>
      <c r="E75" s="4">
        <f t="shared" si="9"/>
        <v>-201.39557423109034</v>
      </c>
      <c r="F75" s="4">
        <f>SUM($D$27:D75)</f>
        <v>-77755.839989164888</v>
      </c>
      <c r="G75" s="4">
        <f>Табл1[[#This Row],[Баланс на начало периода]]+Табл1[[#This Row],[Тело кредита]]</f>
        <v>22244.160010835105</v>
      </c>
      <c r="H75" s="20">
        <f>PV($B$10,$B$11-Табл1[[#This Row],[Период (№месяца)]]+1,$B$13,$B$6,$B$12)/IF(Табл1[[#This Row],[Период (№месяца)]]=1,1,1+$B$12*$B$10)</f>
        <v>24167.468907730756</v>
      </c>
      <c r="I75" s="4">
        <f>-FV($B$10,Табл1[[#This Row],[Период (№месяца)]],$B$13,$B$5,$B$12)/(1+$B$12*$B$10)</f>
        <v>22244.160010835505</v>
      </c>
      <c r="J7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24167.468907730767</v>
      </c>
      <c r="K75" s="4">
        <f>-($B$13*(1+$B$10*$B$12)*(1-(1+$B$10)^Табл1[[#This Row],[Период (№месяца)]])/$B$10-$B$5*((1+$B$10)^Табл1[[#This Row],[Период (№месяца)]]))/(1+$B$12*$B$10)</f>
        <v>22244.160010835505</v>
      </c>
      <c r="M75" s="5">
        <v>49</v>
      </c>
      <c r="N75" s="32">
        <f t="shared" si="3"/>
        <v>-201.39557423108971</v>
      </c>
      <c r="O75" s="30">
        <f t="shared" si="4"/>
        <v>-201.39557423109375</v>
      </c>
      <c r="P75" s="30">
        <f t="shared" si="5"/>
        <v>-201.39557423109383</v>
      </c>
      <c r="Q75" s="30">
        <f t="shared" si="6"/>
        <v>-201.39557423108977</v>
      </c>
      <c r="R75" s="30">
        <f>Табл1[[#This Row],[Процент]]-O75</f>
        <v>3.4106051316484809E-12</v>
      </c>
      <c r="S75" s="21"/>
      <c r="T75" s="21"/>
    </row>
    <row r="76" spans="1:20" x14ac:dyDescent="0.25">
      <c r="A76" s="3">
        <f>IF(ROW()-ROW(Табл1[[#Headers],[Период (№месяца)]])&gt;$B$11,0,ROW()-ROW(Табл1[[#Headers],[Период (№месяца)]]))</f>
        <v>50</v>
      </c>
      <c r="B76" s="4">
        <f>$B$5+SUM($D$26:D75)</f>
        <v>22244.160010835112</v>
      </c>
      <c r="C76" s="4">
        <f t="shared" si="7"/>
        <v>-2124.7044711268277</v>
      </c>
      <c r="D76" s="4">
        <f t="shared" si="8"/>
        <v>-1939.3364710365352</v>
      </c>
      <c r="E76" s="4">
        <f t="shared" si="9"/>
        <v>-185.3680000902925</v>
      </c>
      <c r="F76" s="4">
        <f>SUM($D$27:D76)</f>
        <v>-79695.17646020143</v>
      </c>
      <c r="G76" s="4">
        <f>Табл1[[#This Row],[Баланс на начало периода]]+Табл1[[#This Row],[Тело кредита]]</f>
        <v>20304.823539798577</v>
      </c>
      <c r="H76" s="20">
        <f>PV($B$10,$B$11-Табл1[[#This Row],[Период (№месяца)]]+1,$B$13,$B$6,$B$12)/IF(Табл1[[#This Row],[Период (№месяца)]]=1,1,1+$B$12*$B$10)</f>
        <v>22244.160010834999</v>
      </c>
      <c r="I76" s="4">
        <f>-FV($B$10,Табл1[[#This Row],[Период (№месяца)]],$B$13,$B$5,$B$12)/(1+$B$12*$B$10)</f>
        <v>20304.823539798963</v>
      </c>
      <c r="J7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22244.160010834988</v>
      </c>
      <c r="K76" s="4">
        <f>-($B$13*(1+$B$10*$B$12)*(1-(1+$B$10)^Табл1[[#This Row],[Период (№месяца)]])/$B$10-$B$5*((1+$B$10)^Табл1[[#This Row],[Период (№месяца)]]))/(1+$B$12*$B$10)</f>
        <v>20304.823539798963</v>
      </c>
      <c r="M76" s="5">
        <v>50</v>
      </c>
      <c r="N76" s="32">
        <f t="shared" si="3"/>
        <v>-185.36800009029156</v>
      </c>
      <c r="O76" s="30">
        <f t="shared" si="4"/>
        <v>-185.36800009029588</v>
      </c>
      <c r="P76" s="30">
        <f t="shared" si="5"/>
        <v>-185.36800009029591</v>
      </c>
      <c r="Q76" s="30">
        <f t="shared" si="6"/>
        <v>-185.36800009029162</v>
      </c>
      <c r="R76" s="30">
        <f>Табл1[[#This Row],[Процент]]-O76</f>
        <v>3.3821834222180769E-12</v>
      </c>
      <c r="S76" s="21"/>
      <c r="T76" s="21"/>
    </row>
    <row r="77" spans="1:20" x14ac:dyDescent="0.25">
      <c r="A77" s="3">
        <f>IF(ROW()-ROW(Табл1[[#Headers],[Период (№месяца)]])&gt;$B$11,0,ROW()-ROW(Табл1[[#Headers],[Период (№месяца)]]))</f>
        <v>51</v>
      </c>
      <c r="B77" s="4">
        <f>$B$5+SUM($D$26:D76)</f>
        <v>20304.82353979857</v>
      </c>
      <c r="C77" s="4">
        <f t="shared" si="7"/>
        <v>-2124.7044711268277</v>
      </c>
      <c r="D77" s="4">
        <f t="shared" si="8"/>
        <v>-1955.4976082951728</v>
      </c>
      <c r="E77" s="4">
        <f t="shared" si="9"/>
        <v>-169.20686283165475</v>
      </c>
      <c r="F77" s="4">
        <f>SUM($D$27:D77)</f>
        <v>-81650.674068496606</v>
      </c>
      <c r="G77" s="4">
        <f>Табл1[[#This Row],[Баланс на начало периода]]+Табл1[[#This Row],[Тело кредита]]</f>
        <v>18349.325931503397</v>
      </c>
      <c r="H77" s="20">
        <f>PV($B$10,$B$11-Табл1[[#This Row],[Период (№месяца)]]+1,$B$13,$B$6,$B$12)/IF(Табл1[[#This Row],[Период (№месяца)]]=1,1,1+$B$12*$B$10)</f>
        <v>20304.82353979849</v>
      </c>
      <c r="I77" s="4">
        <f>-FV($B$10,Табл1[[#This Row],[Период (№месяца)]],$B$13,$B$5,$B$12)/(1+$B$12*$B$10)</f>
        <v>18349.325931503787</v>
      </c>
      <c r="J7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20304.823539798486</v>
      </c>
      <c r="K77" s="4">
        <f>-($B$13*(1+$B$10*$B$12)*(1-(1+$B$10)^Табл1[[#This Row],[Период (№месяца)]])/$B$10-$B$5*((1+$B$10)^Табл1[[#This Row],[Период (№месяца)]]))/(1+$B$12*$B$10)</f>
        <v>18349.325931503787</v>
      </c>
      <c r="M77" s="5">
        <v>51</v>
      </c>
      <c r="N77" s="32">
        <f t="shared" si="3"/>
        <v>-169.20686283165406</v>
      </c>
      <c r="O77" s="30">
        <f t="shared" si="4"/>
        <v>-169.20686283165801</v>
      </c>
      <c r="P77" s="30">
        <f t="shared" si="5"/>
        <v>-169.20686283165816</v>
      </c>
      <c r="Q77" s="30">
        <f t="shared" si="6"/>
        <v>-169.20686283165401</v>
      </c>
      <c r="R77" s="30">
        <f>Табл1[[#This Row],[Процент]]-O77</f>
        <v>3.2684965844964609E-12</v>
      </c>
      <c r="S77" s="21"/>
      <c r="T77" s="21"/>
    </row>
    <row r="78" spans="1:20" x14ac:dyDescent="0.25">
      <c r="A78" s="3">
        <f>IF(ROW()-ROW(Табл1[[#Headers],[Период (№месяца)]])&gt;$B$11,0,ROW()-ROW(Табл1[[#Headers],[Период (№месяца)]]))</f>
        <v>52</v>
      </c>
      <c r="B78" s="4">
        <f>$B$5+SUM($D$26:D77)</f>
        <v>18349.325931503394</v>
      </c>
      <c r="C78" s="4">
        <f t="shared" si="7"/>
        <v>-2124.7044711268277</v>
      </c>
      <c r="D78" s="4">
        <f t="shared" si="8"/>
        <v>-1971.7934216976328</v>
      </c>
      <c r="E78" s="4">
        <f t="shared" si="9"/>
        <v>-152.91104942919495</v>
      </c>
      <c r="F78" s="4">
        <f>SUM($D$27:D78)</f>
        <v>-83622.467490194234</v>
      </c>
      <c r="G78" s="4">
        <f>Табл1[[#This Row],[Баланс на начало периода]]+Табл1[[#This Row],[Тело кредита]]</f>
        <v>16377.532509805762</v>
      </c>
      <c r="H78" s="20">
        <f>PV($B$10,$B$11-Табл1[[#This Row],[Период (№месяца)]]+1,$B$13,$B$6,$B$12)/IF(Табл1[[#This Row],[Период (№месяца)]]=1,1,1+$B$12*$B$10)</f>
        <v>18349.325931503306</v>
      </c>
      <c r="I78" s="4">
        <f>-FV($B$10,Табл1[[#This Row],[Период (№месяца)]],$B$13,$B$5,$B$12)/(1+$B$12*$B$10)</f>
        <v>16377.532509806246</v>
      </c>
      <c r="J7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18349.325931503303</v>
      </c>
      <c r="K78" s="4">
        <f>-($B$13*(1+$B$10*$B$12)*(1-(1+$B$10)^Табл1[[#This Row],[Период (№месяца)]])/$B$10-$B$5*((1+$B$10)^Табл1[[#This Row],[Период (№месяца)]]))/(1+$B$12*$B$10)</f>
        <v>16377.532509806246</v>
      </c>
      <c r="M78" s="5">
        <v>52</v>
      </c>
      <c r="N78" s="32">
        <f t="shared" si="3"/>
        <v>-152.91104942919421</v>
      </c>
      <c r="O78" s="30">
        <f t="shared" si="4"/>
        <v>-152.91104942919821</v>
      </c>
      <c r="P78" s="30">
        <f t="shared" si="5"/>
        <v>-152.91104942919856</v>
      </c>
      <c r="Q78" s="30">
        <f t="shared" si="6"/>
        <v>-152.91104942919424</v>
      </c>
      <c r="R78" s="30">
        <f>Табл1[[#This Row],[Процент]]-O78</f>
        <v>3.2684965844964609E-12</v>
      </c>
      <c r="S78" s="21"/>
      <c r="T78" s="21"/>
    </row>
    <row r="79" spans="1:20" x14ac:dyDescent="0.25">
      <c r="A79" s="3">
        <f>IF(ROW()-ROW(Табл1[[#Headers],[Период (№месяца)]])&gt;$B$11,0,ROW()-ROW(Табл1[[#Headers],[Период (№месяца)]]))</f>
        <v>53</v>
      </c>
      <c r="B79" s="4">
        <f>$B$5+SUM($D$26:D78)</f>
        <v>16377.532509805766</v>
      </c>
      <c r="C79" s="4">
        <f t="shared" si="7"/>
        <v>-2124.7044711268277</v>
      </c>
      <c r="D79" s="4">
        <f t="shared" si="8"/>
        <v>-1988.2250335451129</v>
      </c>
      <c r="E79" s="4">
        <f t="shared" si="9"/>
        <v>-136.47943758171468</v>
      </c>
      <c r="F79" s="4">
        <f>SUM($D$27:D79)</f>
        <v>-85610.692523739344</v>
      </c>
      <c r="G79" s="4">
        <f>Табл1[[#This Row],[Баланс на начало периода]]+Табл1[[#This Row],[Тело кредита]]</f>
        <v>14389.307476260652</v>
      </c>
      <c r="H79" s="20">
        <f>PV($B$10,$B$11-Табл1[[#This Row],[Период (№месяца)]]+1,$B$13,$B$6,$B$12)/IF(Табл1[[#This Row],[Период (№месяца)]]=1,1,1+$B$12*$B$10)</f>
        <v>16377.532509805698</v>
      </c>
      <c r="I79" s="4">
        <f>-FV($B$10,Табл1[[#This Row],[Период (№месяца)]],$B$13,$B$5,$B$12)/(1+$B$12*$B$10)</f>
        <v>14389.307476261136</v>
      </c>
      <c r="J7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16377.532509805689</v>
      </c>
      <c r="K79" s="4">
        <f>-($B$13*(1+$B$10*$B$12)*(1-(1+$B$10)^Табл1[[#This Row],[Период (№месяца)]])/$B$10-$B$5*((1+$B$10)^Табл1[[#This Row],[Период (№месяца)]]))/(1+$B$12*$B$10)</f>
        <v>14389.307476261136</v>
      </c>
      <c r="M79" s="5">
        <v>53</v>
      </c>
      <c r="N79" s="32">
        <f t="shared" si="3"/>
        <v>-136.47943758171408</v>
      </c>
      <c r="O79" s="30">
        <f t="shared" si="4"/>
        <v>-136.47943758171871</v>
      </c>
      <c r="P79" s="30">
        <f t="shared" si="5"/>
        <v>-136.47943758171846</v>
      </c>
      <c r="Q79" s="30">
        <f t="shared" si="6"/>
        <v>-136.47943758171414</v>
      </c>
      <c r="R79" s="30">
        <f>Табл1[[#This Row],[Процент]]-O79</f>
        <v>4.0358827391173691E-12</v>
      </c>
      <c r="S79" s="21"/>
      <c r="T79" s="21"/>
    </row>
    <row r="80" spans="1:20" x14ac:dyDescent="0.25">
      <c r="A80" s="3">
        <f>IF(ROW()-ROW(Табл1[[#Headers],[Период (№месяца)]])&gt;$B$11,0,ROW()-ROW(Табл1[[#Headers],[Период (№месяца)]]))</f>
        <v>54</v>
      </c>
      <c r="B80" s="4">
        <f>$B$5+SUM($D$26:D79)</f>
        <v>14389.307476260656</v>
      </c>
      <c r="C80" s="4">
        <f t="shared" si="7"/>
        <v>-2124.7044711268277</v>
      </c>
      <c r="D80" s="4">
        <f t="shared" si="8"/>
        <v>-2004.7935754913221</v>
      </c>
      <c r="E80" s="4">
        <f t="shared" si="9"/>
        <v>-119.9108956355054</v>
      </c>
      <c r="F80" s="4">
        <f>SUM($D$27:D80)</f>
        <v>-87615.486099230664</v>
      </c>
      <c r="G80" s="4">
        <f>Табл1[[#This Row],[Баланс на начало периода]]+Табл1[[#This Row],[Тело кредита]]</f>
        <v>12384.513900769334</v>
      </c>
      <c r="H80" s="20">
        <f>PV($B$10,$B$11-Табл1[[#This Row],[Период (№месяца)]]+1,$B$13,$B$6,$B$12)/IF(Табл1[[#This Row],[Период (№месяца)]]=1,1,1+$B$12*$B$10)</f>
        <v>14389.307476260561</v>
      </c>
      <c r="I80" s="4">
        <f>-FV($B$10,Табл1[[#This Row],[Период (№месяца)]],$B$13,$B$5,$B$12)/(1+$B$12*$B$10)</f>
        <v>12384.513900769758</v>
      </c>
      <c r="J8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14389.307476260574</v>
      </c>
      <c r="K80" s="4">
        <f>-($B$13*(1+$B$10*$B$12)*(1-(1+$B$10)^Табл1[[#This Row],[Период (№месяца)]])/$B$10-$B$5*((1+$B$10)^Табл1[[#This Row],[Период (№месяца)]]))/(1+$B$12*$B$10)</f>
        <v>12384.513900769758</v>
      </c>
      <c r="M80" s="5">
        <v>54</v>
      </c>
      <c r="N80" s="32">
        <f t="shared" si="3"/>
        <v>-119.91089563550479</v>
      </c>
      <c r="O80" s="30">
        <f t="shared" si="4"/>
        <v>-119.91089563550946</v>
      </c>
      <c r="P80" s="30">
        <f t="shared" si="5"/>
        <v>-119.91089563550945</v>
      </c>
      <c r="Q80" s="30">
        <f t="shared" si="6"/>
        <v>-119.91089563550486</v>
      </c>
      <c r="R80" s="30">
        <f>Табл1[[#This Row],[Процент]]-O80</f>
        <v>4.0643044485477731E-12</v>
      </c>
      <c r="S80" s="21"/>
      <c r="T80" s="21"/>
    </row>
    <row r="81" spans="1:20" x14ac:dyDescent="0.25">
      <c r="A81" s="3">
        <f>IF(ROW()-ROW(Табл1[[#Headers],[Период (№месяца)]])&gt;$B$11,0,ROW()-ROW(Табл1[[#Headers],[Период (№месяца)]]))</f>
        <v>55</v>
      </c>
      <c r="B81" s="4">
        <f>$B$5+SUM($D$26:D80)</f>
        <v>12384.513900769336</v>
      </c>
      <c r="C81" s="4">
        <f t="shared" si="7"/>
        <v>-2124.7044711268277</v>
      </c>
      <c r="D81" s="4">
        <f t="shared" si="8"/>
        <v>-2021.5001886204166</v>
      </c>
      <c r="E81" s="4">
        <f t="shared" si="9"/>
        <v>-103.20428250641106</v>
      </c>
      <c r="F81" s="4">
        <f>SUM($D$27:D81)</f>
        <v>-89636.986287851076</v>
      </c>
      <c r="G81" s="4">
        <f>Табл1[[#This Row],[Баланс на начало периода]]+Табл1[[#This Row],[Тело кредита]]</f>
        <v>10363.013712148919</v>
      </c>
      <c r="H81" s="20">
        <f>PV($B$10,$B$11-Табл1[[#This Row],[Период (№месяца)]]+1,$B$13,$B$6,$B$12)/IF(Табл1[[#This Row],[Период (№месяца)]]=1,1,1+$B$12*$B$10)</f>
        <v>12384.51390076928</v>
      </c>
      <c r="I81" s="4">
        <f>-FV($B$10,Табл1[[#This Row],[Период (№месяца)]],$B$13,$B$5,$B$12)/(1+$B$12*$B$10)</f>
        <v>10363.013712149404</v>
      </c>
      <c r="J8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12384.513900769269</v>
      </c>
      <c r="K81" s="4">
        <f>-($B$13*(1+$B$10*$B$12)*(1-(1+$B$10)^Табл1[[#This Row],[Период (№месяца)]])/$B$10-$B$5*((1+$B$10)^Табл1[[#This Row],[Период (№месяца)]]))/(1+$B$12*$B$10)</f>
        <v>10363.013712149404</v>
      </c>
      <c r="M81" s="5">
        <v>55</v>
      </c>
      <c r="N81" s="32">
        <f t="shared" si="3"/>
        <v>-103.20428250641058</v>
      </c>
      <c r="O81" s="30">
        <f t="shared" si="4"/>
        <v>-103.20428250641464</v>
      </c>
      <c r="P81" s="30">
        <f t="shared" si="5"/>
        <v>-103.20428250641488</v>
      </c>
      <c r="Q81" s="30">
        <f t="shared" si="6"/>
        <v>-103.20428250641066</v>
      </c>
      <c r="R81" s="30">
        <f>Табл1[[#This Row],[Процент]]-O81</f>
        <v>3.5811353882309049E-12</v>
      </c>
      <c r="S81" s="21"/>
      <c r="T81" s="21"/>
    </row>
    <row r="82" spans="1:20" x14ac:dyDescent="0.25">
      <c r="A82" s="3">
        <f>IF(ROW()-ROW(Табл1[[#Headers],[Период (№месяца)]])&gt;$B$11,0,ROW()-ROW(Табл1[[#Headers],[Период (№месяца)]]))</f>
        <v>56</v>
      </c>
      <c r="B82" s="4">
        <f>$B$5+SUM($D$26:D81)</f>
        <v>10363.013712148924</v>
      </c>
      <c r="C82" s="4">
        <f t="shared" si="7"/>
        <v>-2124.7044711268277</v>
      </c>
      <c r="D82" s="4">
        <f t="shared" si="8"/>
        <v>-2038.3460235255868</v>
      </c>
      <c r="E82" s="4">
        <f t="shared" si="9"/>
        <v>-86.358447601240925</v>
      </c>
      <c r="F82" s="4">
        <f>SUM($D$27:D82)</f>
        <v>-91675.332311376667</v>
      </c>
      <c r="G82" s="4">
        <f>Табл1[[#This Row],[Баланс на начало периода]]+Табл1[[#This Row],[Тело кредита]]</f>
        <v>8324.6676886233381</v>
      </c>
      <c r="H82" s="20">
        <f>PV($B$10,$B$11-Табл1[[#This Row],[Период (№месяца)]]+1,$B$13,$B$6,$B$12)/IF(Табл1[[#This Row],[Период (№месяца)]]=1,1,1+$B$12*$B$10)</f>
        <v>10363.013712148841</v>
      </c>
      <c r="I82" s="4">
        <f>-FV($B$10,Табл1[[#This Row],[Период (№месяца)]],$B$13,$B$5,$B$12)/(1+$B$12*$B$10)</f>
        <v>8324.6676886238274</v>
      </c>
      <c r="J8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10363.013712148853</v>
      </c>
      <c r="K82" s="4">
        <f>-($B$13*(1+$B$10*$B$12)*(1-(1+$B$10)^Табл1[[#This Row],[Период (№месяца)]])/$B$10-$B$5*((1+$B$10)^Табл1[[#This Row],[Период (№месяца)]]))/(1+$B$12*$B$10)</f>
        <v>8324.6676886238274</v>
      </c>
      <c r="M82" s="5">
        <v>56</v>
      </c>
      <c r="N82" s="32">
        <f t="shared" si="3"/>
        <v>-86.358447601240442</v>
      </c>
      <c r="O82" s="30">
        <f t="shared" si="4"/>
        <v>-86.358447601245032</v>
      </c>
      <c r="P82" s="30">
        <f t="shared" si="5"/>
        <v>-86.358447601245075</v>
      </c>
      <c r="Q82" s="30">
        <f t="shared" si="6"/>
        <v>-86.358447601240414</v>
      </c>
      <c r="R82" s="30">
        <f>Табл1[[#This Row],[Процент]]-O82</f>
        <v>4.1069370126933791E-12</v>
      </c>
      <c r="S82" s="21"/>
      <c r="T82" s="21"/>
    </row>
    <row r="83" spans="1:20" x14ac:dyDescent="0.25">
      <c r="A83" s="3">
        <f>IF(ROW()-ROW(Табл1[[#Headers],[Период (№месяца)]])&gt;$B$11,0,ROW()-ROW(Табл1[[#Headers],[Период (№месяца)]]))</f>
        <v>57</v>
      </c>
      <c r="B83" s="4">
        <f>$B$5+SUM($D$26:D82)</f>
        <v>8324.6676886233327</v>
      </c>
      <c r="C83" s="4">
        <f t="shared" si="7"/>
        <v>-2124.7044711268277</v>
      </c>
      <c r="D83" s="4">
        <f t="shared" si="8"/>
        <v>-2055.3322403882999</v>
      </c>
      <c r="E83" s="4">
        <f t="shared" si="9"/>
        <v>-69.372230738527691</v>
      </c>
      <c r="F83" s="4">
        <f>SUM($D$27:D83)</f>
        <v>-93730.664551764974</v>
      </c>
      <c r="G83" s="4">
        <f>Табл1[[#This Row],[Баланс на начало периода]]+Табл1[[#This Row],[Тело кредита]]</f>
        <v>6269.3354482350333</v>
      </c>
      <c r="H83" s="20">
        <f>PV($B$10,$B$11-Табл1[[#This Row],[Период (№месяца)]]+1,$B$13,$B$6,$B$12)/IF(Табл1[[#This Row],[Период (№месяца)]]=1,1,1+$B$12*$B$10)</f>
        <v>8324.6676886232781</v>
      </c>
      <c r="I83" s="4">
        <f>-FV($B$10,Табл1[[#This Row],[Период (№месяца)]],$B$13,$B$5,$B$12)/(1+$B$12*$B$10)</f>
        <v>6269.3354482355644</v>
      </c>
      <c r="J8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8324.6676886232763</v>
      </c>
      <c r="K83" s="4">
        <f>-($B$13*(1+$B$10*$B$12)*(1-(1+$B$10)^Табл1[[#This Row],[Период (№месяца)]])/$B$10-$B$5*((1+$B$10)^Табл1[[#This Row],[Период (№месяца)]]))/(1+$B$12*$B$10)</f>
        <v>6269.3354482355644</v>
      </c>
      <c r="M83" s="5">
        <v>57</v>
      </c>
      <c r="N83" s="32">
        <f t="shared" si="3"/>
        <v>-69.372230738527307</v>
      </c>
      <c r="O83" s="30">
        <f t="shared" si="4"/>
        <v>-69.372230738531897</v>
      </c>
      <c r="P83" s="30">
        <f t="shared" si="5"/>
        <v>-69.37223073853194</v>
      </c>
      <c r="Q83" s="30">
        <f t="shared" si="6"/>
        <v>-69.372230738527378</v>
      </c>
      <c r="R83" s="30">
        <f>Табл1[[#This Row],[Процент]]-O83</f>
        <v>4.2064129956997931E-12</v>
      </c>
      <c r="S83" s="21"/>
      <c r="T83" s="21"/>
    </row>
    <row r="84" spans="1:20" x14ac:dyDescent="0.25">
      <c r="A84" s="3">
        <f>IF(ROW()-ROW(Табл1[[#Headers],[Период (№месяца)]])&gt;$B$11,0,ROW()-ROW(Табл1[[#Headers],[Период (№месяца)]]))</f>
        <v>58</v>
      </c>
      <c r="B84" s="4">
        <f>$B$5+SUM($D$26:D83)</f>
        <v>6269.335448235026</v>
      </c>
      <c r="C84" s="4">
        <f t="shared" si="7"/>
        <v>-2124.7044711268277</v>
      </c>
      <c r="D84" s="4">
        <f t="shared" si="8"/>
        <v>-2072.4600090582026</v>
      </c>
      <c r="E84" s="4">
        <f t="shared" si="9"/>
        <v>-52.244462068625204</v>
      </c>
      <c r="F84" s="4">
        <f>SUM($D$27:D84)</f>
        <v>-95803.124560823169</v>
      </c>
      <c r="G84" s="4">
        <f>Табл1[[#This Row],[Баланс на начало периода]]+Табл1[[#This Row],[Тело кредита]]</f>
        <v>4196.8754391768234</v>
      </c>
      <c r="H84" s="20">
        <f>PV($B$10,$B$11-Табл1[[#This Row],[Период (№месяца)]]+1,$B$13,$B$6,$B$12)/IF(Табл1[[#This Row],[Период (№месяца)]]=1,1,1+$B$12*$B$10)</f>
        <v>6269.3354482349914</v>
      </c>
      <c r="I84" s="4">
        <f>-FV($B$10,Табл1[[#This Row],[Период (№месяца)]],$B$13,$B$5,$B$12)/(1+$B$12*$B$10)</f>
        <v>4196.8754391773546</v>
      </c>
      <c r="J8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6269.3354482349923</v>
      </c>
      <c r="K84" s="4">
        <f>-($B$13*(1+$B$10*$B$12)*(1-(1+$B$10)^Табл1[[#This Row],[Период (№месяца)]])/$B$10-$B$5*((1+$B$10)^Табл1[[#This Row],[Период (№месяца)]]))/(1+$B$12*$B$10)</f>
        <v>4196.8754391773546</v>
      </c>
      <c r="M84" s="5">
        <v>58</v>
      </c>
      <c r="N84" s="32">
        <f t="shared" si="3"/>
        <v>-52.244462068624941</v>
      </c>
      <c r="O84" s="30">
        <f t="shared" si="4"/>
        <v>-52.244462068629701</v>
      </c>
      <c r="P84" s="30">
        <f t="shared" si="5"/>
        <v>-52.244462068629801</v>
      </c>
      <c r="Q84" s="30">
        <f t="shared" si="6"/>
        <v>-52.244462068625126</v>
      </c>
      <c r="R84" s="30">
        <f>Табл1[[#This Row],[Процент]]-O84</f>
        <v>4.4977355173614342E-12</v>
      </c>
      <c r="S84" s="21"/>
      <c r="T84" s="21"/>
    </row>
    <row r="85" spans="1:20" x14ac:dyDescent="0.25">
      <c r="A85" s="3">
        <f>IF(ROW()-ROW(Табл1[[#Headers],[Период (№месяца)]])&gt;$B$11,0,ROW()-ROW(Табл1[[#Headers],[Период (№месяца)]]))</f>
        <v>59</v>
      </c>
      <c r="B85" s="4">
        <f>$B$5+SUM($D$26:D84)</f>
        <v>4196.8754391768307</v>
      </c>
      <c r="C85" s="4">
        <f t="shared" si="7"/>
        <v>-2124.7044711268277</v>
      </c>
      <c r="D85" s="4">
        <f t="shared" si="8"/>
        <v>-2089.7305091336875</v>
      </c>
      <c r="E85" s="4">
        <f t="shared" si="9"/>
        <v>-34.973961993140179</v>
      </c>
      <c r="F85" s="4">
        <f>SUM($D$27:D85)</f>
        <v>-97892.855069956859</v>
      </c>
      <c r="G85" s="4">
        <f>Табл1[[#This Row],[Баланс на начало периода]]+Табл1[[#This Row],[Тело кредита]]</f>
        <v>2107.1449300431432</v>
      </c>
      <c r="H85" s="20">
        <f>PV($B$10,$B$11-Табл1[[#This Row],[Период (№месяца)]]+1,$B$13,$B$6,$B$12)/IF(Табл1[[#This Row],[Период (№месяца)]]=1,1,1+$B$12*$B$10)</f>
        <v>4196.8754391768107</v>
      </c>
      <c r="I85" s="4">
        <f>-FV($B$10,Табл1[[#This Row],[Период (№месяца)]],$B$13,$B$5,$B$12)/(1+$B$12*$B$10)</f>
        <v>2107.1449300436652</v>
      </c>
      <c r="J8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4196.8754391768152</v>
      </c>
      <c r="K85" s="4">
        <f>-($B$13*(1+$B$10*$B$12)*(1-(1+$B$10)^Табл1[[#This Row],[Период (№месяца)]])/$B$10-$B$5*((1+$B$10)^Табл1[[#This Row],[Период (№месяца)]]))/(1+$B$12*$B$10)</f>
        <v>2107.1449300436361</v>
      </c>
      <c r="M85" s="5">
        <v>59</v>
      </c>
      <c r="N85" s="32">
        <f t="shared" si="3"/>
        <v>-34.973961993140122</v>
      </c>
      <c r="O85" s="30">
        <f t="shared" si="4"/>
        <v>-34.97396199314462</v>
      </c>
      <c r="P85" s="30">
        <f t="shared" si="5"/>
        <v>-34.973961993144883</v>
      </c>
      <c r="Q85" s="30">
        <f t="shared" si="6"/>
        <v>-34.973961993140165</v>
      </c>
      <c r="R85" s="30">
        <f>Табл1[[#This Row],[Процент]]-O85</f>
        <v>4.4408920985006262E-12</v>
      </c>
      <c r="S85" s="21"/>
      <c r="T85" s="21"/>
    </row>
    <row r="86" spans="1:20" x14ac:dyDescent="0.25">
      <c r="A86" s="3">
        <f>IF(ROW()-ROW(Табл1[[#Headers],[Период (№месяца)]])&gt;$B$11,0,ROW()-ROW(Табл1[[#Headers],[Период (№месяца)]]))</f>
        <v>60</v>
      </c>
      <c r="B86" s="4">
        <f>$B$5+SUM($D$26:D85)</f>
        <v>2107.1449300431414</v>
      </c>
      <c r="C86" s="4">
        <f t="shared" si="7"/>
        <v>-2124.7044711268277</v>
      </c>
      <c r="D86" s="4">
        <f t="shared" si="8"/>
        <v>-2107.144930043135</v>
      </c>
      <c r="E86" s="4">
        <f t="shared" si="9"/>
        <v>-17.559541083692793</v>
      </c>
      <c r="F86" s="4">
        <f>SUM($D$27:D86)</f>
        <v>-100000</v>
      </c>
      <c r="G86" s="4">
        <f>Табл1[[#This Row],[Баланс на начало периода]]+Табл1[[#This Row],[Тело кредита]]</f>
        <v>6.3664629124104977E-12</v>
      </c>
      <c r="H86" s="20">
        <f>PV($B$10,$B$11-Табл1[[#This Row],[Период (№месяца)]]+1,$B$13,$B$6,$B$12)/IF(Табл1[[#This Row],[Период (№месяца)]]=1,1,1+$B$12*$B$10)</f>
        <v>2107.1449300431273</v>
      </c>
      <c r="I86" s="4">
        <f>-FV($B$10,Табл1[[#This Row],[Период (№месяца)]],$B$13,$B$5,$B$12)/(1+$B$12*$B$10)</f>
        <v>5.5297277867794037E-10</v>
      </c>
      <c r="J8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2107.1449300431277</v>
      </c>
      <c r="K86" s="4">
        <f>-($B$13*(1+$B$10*$B$12)*(1-(1+$B$10)^Табл1[[#This Row],[Период (№месяца)]])/$B$10-$B$5*((1+$B$10)^Табл1[[#This Row],[Период (№месяца)]]))/(1+$B$12*$B$10)</f>
        <v>5.5297277867794037E-10</v>
      </c>
      <c r="M86" s="5">
        <v>60</v>
      </c>
      <c r="N86" s="32">
        <f t="shared" si="3"/>
        <v>-17.559541083692732</v>
      </c>
      <c r="O86" s="30">
        <f t="shared" si="4"/>
        <v>-17.559541083697209</v>
      </c>
      <c r="P86" s="30">
        <f t="shared" si="5"/>
        <v>-17.559541083697265</v>
      </c>
      <c r="Q86" s="30">
        <f t="shared" si="6"/>
        <v>-17.559541083692693</v>
      </c>
      <c r="R86" s="30">
        <f>Табл1[[#This Row],[Процент]]-O86</f>
        <v>4.4160231027490227E-12</v>
      </c>
      <c r="S86" s="21"/>
      <c r="T86" s="21"/>
    </row>
    <row r="87" spans="1:20" x14ac:dyDescent="0.25">
      <c r="A87" t="s">
        <v>27</v>
      </c>
      <c r="C87" s="23">
        <f>SUBTOTAL(109,Табл1[Платеж])</f>
        <v>-127482.26826760953</v>
      </c>
      <c r="D87" s="23">
        <f>SUBTOTAL(109,Табл1[Тело кредита])</f>
        <v>-100000</v>
      </c>
      <c r="E87" s="23">
        <f>SUBTOTAL(109,Табл1[Процент])</f>
        <v>-27482.268267609656</v>
      </c>
      <c r="F87" s="4"/>
      <c r="G87" s="4"/>
    </row>
  </sheetData>
  <conditionalFormatting sqref="B18">
    <cfRule type="expression" dxfId="14" priority="1">
      <formula>($B$18-$B$17)&gt;0.0001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3" t="s">
        <v>55</v>
      </c>
      <c r="B1" s="33"/>
      <c r="C1" s="33"/>
      <c r="D1" s="33"/>
      <c r="E1" s="33"/>
      <c r="F1" s="33"/>
      <c r="G1" s="33"/>
    </row>
    <row r="2" spans="1:7" ht="107.25" customHeight="1" x14ac:dyDescent="0.25">
      <c r="A2" s="34" t="s">
        <v>56</v>
      </c>
    </row>
    <row r="3" spans="1:7" ht="105" customHeight="1" x14ac:dyDescent="0.25">
      <c r="A3" s="34" t="s">
        <v>57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3" t="s">
        <v>55</v>
      </c>
      <c r="B1" s="33"/>
      <c r="C1" s="33"/>
      <c r="D1" s="33"/>
      <c r="E1" s="33"/>
      <c r="F1" s="33"/>
      <c r="G1" s="33"/>
    </row>
    <row r="2" spans="1:7" ht="107.25" customHeight="1" x14ac:dyDescent="0.25">
      <c r="A2" s="34" t="s">
        <v>56</v>
      </c>
    </row>
    <row r="3" spans="1:7" ht="105" customHeight="1" x14ac:dyDescent="0.25">
      <c r="A3" s="34" t="s">
        <v>57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interest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2012-05-10T04:44:58Z</dcterms:created>
  <dcterms:modified xsi:type="dcterms:W3CDTF">2015-04-19T18:19:02Z</dcterms:modified>
</cp:coreProperties>
</file>