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"/>
    </mc:Choice>
  </mc:AlternateContent>
  <bookViews>
    <workbookView xWindow="360" yWindow="660" windowWidth="18795" windowHeight="11715" tabRatio="793"/>
  </bookViews>
  <sheets>
    <sheet name="Линейный" sheetId="9" r:id="rId1"/>
    <sheet name="Диаграмма рассеяния" sheetId="18" r:id="rId2"/>
    <sheet name="Матричная форма" sheetId="10" r:id="rId3"/>
    <sheet name="Интервалы" sheetId="12" r:id="rId4"/>
    <sheet name="Адекватность" sheetId="14" r:id="rId5"/>
    <sheet name="Надстройка" sheetId="17" r:id="rId6"/>
    <sheet name="EXCEL2.RU" sheetId="3" r:id="rId7"/>
  </sheets>
  <definedNames>
    <definedName name="anscount" hidden="1">2</definedName>
    <definedName name="limcount" hidden="1">2</definedName>
    <definedName name="sencount" hidden="1">4</definedName>
    <definedName name="solver_eng" localSheetId="4" hidden="1">1</definedName>
    <definedName name="solver_eng" localSheetId="1" hidden="1">1</definedName>
    <definedName name="solver_eng" localSheetId="3" hidden="1">1</definedName>
    <definedName name="solver_eng" localSheetId="0" hidden="1">1</definedName>
    <definedName name="solver_eng" localSheetId="5" hidden="1">1</definedName>
    <definedName name="solver_neg" localSheetId="4" hidden="1">1</definedName>
    <definedName name="solver_neg" localSheetId="1" hidden="1">1</definedName>
    <definedName name="solver_neg" localSheetId="3" hidden="1">1</definedName>
    <definedName name="solver_neg" localSheetId="0" hidden="1">1</definedName>
    <definedName name="solver_neg" localSheetId="5" hidden="1">1</definedName>
    <definedName name="solver_num" localSheetId="4" hidden="1">0</definedName>
    <definedName name="solver_num" localSheetId="1" hidden="1">0</definedName>
    <definedName name="solver_num" localSheetId="3" hidden="1">0</definedName>
    <definedName name="solver_num" localSheetId="0" hidden="1">0</definedName>
    <definedName name="solver_num" localSheetId="5" hidden="1">0</definedName>
    <definedName name="solver_opt" localSheetId="4" hidden="1">Адекватность!#REF!</definedName>
    <definedName name="solver_opt" localSheetId="1" hidden="1">'Диаграмма рассеяния'!#REF!</definedName>
    <definedName name="solver_opt" localSheetId="3" hidden="1">Интервалы!#REF!</definedName>
    <definedName name="solver_opt" localSheetId="0" hidden="1">Линейный!#REF!</definedName>
    <definedName name="solver_opt" localSheetId="5" hidden="1">Надстройка!#REF!</definedName>
    <definedName name="solver_typ" localSheetId="4" hidden="1">1</definedName>
    <definedName name="solver_typ" localSheetId="1" hidden="1">1</definedName>
    <definedName name="solver_typ" localSheetId="3" hidden="1">1</definedName>
    <definedName name="solver_typ" localSheetId="0" hidden="1">1</definedName>
    <definedName name="solver_typ" localSheetId="5" hidden="1">1</definedName>
    <definedName name="solver_val" localSheetId="4" hidden="1">0</definedName>
    <definedName name="solver_val" localSheetId="1" hidden="1">0</definedName>
    <definedName name="solver_val" localSheetId="3" hidden="1">0</definedName>
    <definedName name="solver_val" localSheetId="0" hidden="1">0</definedName>
    <definedName name="solver_val" localSheetId="5" hidden="1">0</definedName>
    <definedName name="solver_ver" localSheetId="4" hidden="1">3</definedName>
    <definedName name="solver_ver" localSheetId="1" hidden="1">3</definedName>
    <definedName name="solver_ver" localSheetId="3" hidden="1">3</definedName>
    <definedName name="solver_ver" localSheetId="0" hidden="1">3</definedName>
    <definedName name="solver_ver" localSheetId="5" hidden="1">3</definedName>
    <definedName name="Xперемен">Интервалы!$B$53:$B$113</definedName>
    <definedName name="Yперемен">Интервалы!$C$53:$C$113</definedName>
  </definedNames>
  <calcPr calcId="162913"/>
</workbook>
</file>

<file path=xl/calcChain.xml><?xml version="1.0" encoding="utf-8"?>
<calcChain xmlns="http://schemas.openxmlformats.org/spreadsheetml/2006/main">
  <c r="F23" i="14" l="1"/>
  <c r="Q26" i="18" l="1"/>
  <c r="R26" i="18"/>
  <c r="Q27" i="18"/>
  <c r="R27" i="18"/>
  <c r="Q28" i="18"/>
  <c r="R28" i="18"/>
  <c r="Q29" i="18"/>
  <c r="R29" i="18"/>
  <c r="Q30" i="18"/>
  <c r="R30" i="18"/>
  <c r="Q31" i="18"/>
  <c r="R31" i="18"/>
  <c r="Q32" i="18"/>
  <c r="R32" i="18"/>
  <c r="Q33" i="18"/>
  <c r="R33" i="18"/>
  <c r="Q34" i="18"/>
  <c r="R34" i="18"/>
  <c r="Q35" i="18"/>
  <c r="R35" i="18"/>
  <c r="Q36" i="18"/>
  <c r="R36" i="18"/>
  <c r="Q37" i="18"/>
  <c r="R37" i="18"/>
  <c r="Q38" i="18"/>
  <c r="R38" i="18"/>
  <c r="Q39" i="18"/>
  <c r="R39" i="18"/>
  <c r="Q40" i="18"/>
  <c r="R40" i="18"/>
  <c r="Q41" i="18"/>
  <c r="R41" i="18"/>
  <c r="Q42" i="18"/>
  <c r="R42" i="18"/>
  <c r="Q43" i="18"/>
  <c r="R43" i="18"/>
  <c r="Q44" i="18"/>
  <c r="R44" i="18"/>
  <c r="Q45" i="18"/>
  <c r="R45" i="18"/>
  <c r="Q46" i="18"/>
  <c r="R46" i="18"/>
  <c r="Q47" i="18"/>
  <c r="R47" i="18"/>
  <c r="Q48" i="18"/>
  <c r="R48" i="18"/>
  <c r="Q49" i="18"/>
  <c r="R49" i="18"/>
  <c r="Q50" i="18"/>
  <c r="R50" i="18"/>
  <c r="Q51" i="18"/>
  <c r="R51" i="18"/>
  <c r="Q52" i="18"/>
  <c r="R52" i="18"/>
  <c r="Q53" i="18"/>
  <c r="R53" i="18"/>
  <c r="Q54" i="18"/>
  <c r="R54" i="18"/>
  <c r="Q55" i="18"/>
  <c r="R55" i="18"/>
  <c r="Q56" i="18"/>
  <c r="R56" i="18"/>
  <c r="Q57" i="18"/>
  <c r="R57" i="18"/>
  <c r="Q58" i="18"/>
  <c r="R58" i="18"/>
  <c r="Q59" i="18"/>
  <c r="R59" i="18"/>
  <c r="Q60" i="18"/>
  <c r="R60" i="18"/>
  <c r="Q61" i="18"/>
  <c r="R61" i="18"/>
  <c r="Q62" i="18"/>
  <c r="R62" i="18"/>
  <c r="Q63" i="18"/>
  <c r="R63" i="18"/>
  <c r="Q64" i="18"/>
  <c r="R64" i="18"/>
  <c r="Q65" i="18"/>
  <c r="R65" i="18"/>
  <c r="Q66" i="18"/>
  <c r="R66" i="18"/>
  <c r="Q67" i="18"/>
  <c r="R67" i="18"/>
  <c r="Q68" i="18"/>
  <c r="R68" i="18"/>
  <c r="Q69" i="18"/>
  <c r="R69" i="18"/>
  <c r="Q70" i="18"/>
  <c r="R70" i="18"/>
  <c r="Q71" i="18"/>
  <c r="R71" i="18"/>
  <c r="Q72" i="18"/>
  <c r="R72" i="18"/>
  <c r="Q73" i="18"/>
  <c r="R73" i="18"/>
  <c r="Q74" i="18"/>
  <c r="R74" i="18"/>
  <c r="Q75" i="18"/>
  <c r="R75" i="18"/>
  <c r="Q76" i="18"/>
  <c r="R76" i="18"/>
  <c r="Q77" i="18"/>
  <c r="R77" i="18"/>
  <c r="Q78" i="18"/>
  <c r="R78" i="18"/>
  <c r="Q79" i="18"/>
  <c r="R79" i="18"/>
  <c r="Q80" i="18"/>
  <c r="R80" i="18"/>
  <c r="Q81" i="18"/>
  <c r="R81" i="18"/>
  <c r="Q82" i="18"/>
  <c r="R82" i="18"/>
  <c r="Q83" i="18"/>
  <c r="R83" i="18"/>
  <c r="R25" i="18"/>
  <c r="Q25" i="18"/>
  <c r="E22" i="9" l="1"/>
  <c r="B11" i="18"/>
  <c r="B12" i="18"/>
  <c r="B15" i="18"/>
  <c r="B9" i="18"/>
  <c r="B8" i="18"/>
  <c r="A25" i="18" l="1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24" i="18"/>
  <c r="B13" i="18" l="1"/>
  <c r="Q8" i="18" s="1"/>
  <c r="B14" i="18" l="1"/>
  <c r="A3" i="17" l="1"/>
  <c r="A3" i="14"/>
  <c r="A3" i="10"/>
  <c r="A3" i="12"/>
  <c r="O31" i="17" l="1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30" i="17"/>
  <c r="J32" i="17"/>
  <c r="K32" i="17" s="1"/>
  <c r="J33" i="17"/>
  <c r="K33" i="17" s="1"/>
  <c r="J34" i="17"/>
  <c r="K34" i="17" s="1"/>
  <c r="J35" i="17"/>
  <c r="K35" i="17" s="1"/>
  <c r="J36" i="17"/>
  <c r="K36" i="17" s="1"/>
  <c r="J37" i="17"/>
  <c r="K37" i="17" s="1"/>
  <c r="J38" i="17"/>
  <c r="K38" i="17" s="1"/>
  <c r="J39" i="17"/>
  <c r="K39" i="17" s="1"/>
  <c r="J40" i="17"/>
  <c r="K40" i="17" s="1"/>
  <c r="J41" i="17"/>
  <c r="K41" i="17" s="1"/>
  <c r="J42" i="17"/>
  <c r="K42" i="17" s="1"/>
  <c r="J43" i="17"/>
  <c r="K43" i="17" s="1"/>
  <c r="J44" i="17"/>
  <c r="K44" i="17" s="1"/>
  <c r="J45" i="17"/>
  <c r="K45" i="17" s="1"/>
  <c r="J46" i="17"/>
  <c r="K46" i="17" s="1"/>
  <c r="J47" i="17"/>
  <c r="K47" i="17" s="1"/>
  <c r="J48" i="17"/>
  <c r="K48" i="17" s="1"/>
  <c r="J49" i="17"/>
  <c r="K49" i="17" s="1"/>
  <c r="J50" i="17"/>
  <c r="K50" i="17" s="1"/>
  <c r="J51" i="17"/>
  <c r="K51" i="17" s="1"/>
  <c r="J52" i="17"/>
  <c r="K52" i="17" s="1"/>
  <c r="J53" i="17"/>
  <c r="K53" i="17" s="1"/>
  <c r="J54" i="17"/>
  <c r="K54" i="17" s="1"/>
  <c r="J55" i="17"/>
  <c r="K55" i="17" s="1"/>
  <c r="J56" i="17"/>
  <c r="K56" i="17" s="1"/>
  <c r="J57" i="17"/>
  <c r="K57" i="17" s="1"/>
  <c r="J58" i="17"/>
  <c r="K58" i="17" s="1"/>
  <c r="J59" i="17"/>
  <c r="K59" i="17" s="1"/>
  <c r="J60" i="17"/>
  <c r="K60" i="17" s="1"/>
  <c r="J61" i="17"/>
  <c r="K61" i="17" s="1"/>
  <c r="J62" i="17"/>
  <c r="K62" i="17" s="1"/>
  <c r="J63" i="17"/>
  <c r="K63" i="17" s="1"/>
  <c r="J64" i="17"/>
  <c r="K64" i="17" s="1"/>
  <c r="J65" i="17"/>
  <c r="K65" i="17" s="1"/>
  <c r="J66" i="17"/>
  <c r="K66" i="17" s="1"/>
  <c r="J67" i="17"/>
  <c r="K67" i="17" s="1"/>
  <c r="J68" i="17"/>
  <c r="K68" i="17" s="1"/>
  <c r="J69" i="17"/>
  <c r="K69" i="17" s="1"/>
  <c r="J31" i="17"/>
  <c r="K31" i="17" s="1"/>
  <c r="J30" i="17"/>
  <c r="K30" i="17" s="1"/>
  <c r="J22" i="17"/>
  <c r="K23" i="17"/>
  <c r="K22" i="17"/>
  <c r="J23" i="17"/>
  <c r="L68" i="17" l="1"/>
  <c r="L64" i="17"/>
  <c r="L56" i="17"/>
  <c r="L48" i="17"/>
  <c r="L44" i="17"/>
  <c r="L36" i="17"/>
  <c r="L43" i="17"/>
  <c r="L30" i="17"/>
  <c r="L32" i="17"/>
  <c r="L55" i="17"/>
  <c r="L39" i="17"/>
  <c r="L31" i="17"/>
  <c r="L66" i="17"/>
  <c r="L62" i="17"/>
  <c r="L58" i="17"/>
  <c r="L54" i="17"/>
  <c r="L50" i="17"/>
  <c r="L46" i="17"/>
  <c r="L38" i="17"/>
  <c r="L34" i="17"/>
  <c r="L67" i="17"/>
  <c r="L51" i="17"/>
  <c r="L69" i="17"/>
  <c r="L65" i="17"/>
  <c r="L61" i="17"/>
  <c r="L57" i="17"/>
  <c r="L53" i="17"/>
  <c r="L49" i="17"/>
  <c r="L45" i="17"/>
  <c r="L41" i="17"/>
  <c r="L37" i="17"/>
  <c r="L33" i="17"/>
  <c r="L63" i="17"/>
  <c r="L47" i="17"/>
  <c r="L60" i="17"/>
  <c r="L52" i="17"/>
  <c r="L40" i="17"/>
  <c r="L59" i="17"/>
  <c r="L42" i="17"/>
  <c r="L35" i="17"/>
  <c r="L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23" i="17"/>
  <c r="J12" i="17"/>
  <c r="J13" i="17"/>
  <c r="O23" i="17" s="1"/>
  <c r="M23" i="17" l="1"/>
  <c r="O22" i="17"/>
  <c r="P22" i="17"/>
  <c r="K18" i="17"/>
  <c r="N23" i="17"/>
  <c r="K17" i="17"/>
  <c r="L17" i="17" s="1"/>
  <c r="J18" i="17"/>
  <c r="J19" i="17" s="1"/>
  <c r="K19" i="17"/>
  <c r="M22" i="17"/>
  <c r="N22" i="17"/>
  <c r="N30" i="17"/>
  <c r="N31" i="17" s="1"/>
  <c r="N32" i="17" s="1"/>
  <c r="N33" i="17" s="1"/>
  <c r="N34" i="17" s="1"/>
  <c r="N35" i="17" s="1"/>
  <c r="N36" i="17" s="1"/>
  <c r="N37" i="17" s="1"/>
  <c r="N38" i="17" s="1"/>
  <c r="N39" i="17" s="1"/>
  <c r="N40" i="17" s="1"/>
  <c r="N41" i="17" s="1"/>
  <c r="N42" i="17" s="1"/>
  <c r="N43" i="17" s="1"/>
  <c r="N44" i="17" s="1"/>
  <c r="N45" i="17" s="1"/>
  <c r="N46" i="17" s="1"/>
  <c r="N47" i="17" s="1"/>
  <c r="N48" i="17" s="1"/>
  <c r="N49" i="17" s="1"/>
  <c r="N50" i="17" s="1"/>
  <c r="N51" i="17" s="1"/>
  <c r="N52" i="17" s="1"/>
  <c r="N53" i="17" s="1"/>
  <c r="N54" i="17" s="1"/>
  <c r="N55" i="17" s="1"/>
  <c r="N56" i="17" s="1"/>
  <c r="N57" i="17" s="1"/>
  <c r="N58" i="17" s="1"/>
  <c r="N59" i="17" s="1"/>
  <c r="N60" i="17" s="1"/>
  <c r="N61" i="17" s="1"/>
  <c r="N62" i="17" s="1"/>
  <c r="N63" i="17" s="1"/>
  <c r="N64" i="17" s="1"/>
  <c r="N65" i="17" s="1"/>
  <c r="N66" i="17" s="1"/>
  <c r="N67" i="17" s="1"/>
  <c r="N68" i="17" s="1"/>
  <c r="N69" i="17" s="1"/>
  <c r="P23" i="17"/>
  <c r="Q23" i="17"/>
  <c r="Q22" i="17"/>
  <c r="J9" i="17"/>
  <c r="J10" i="17"/>
  <c r="J11" i="17" s="1"/>
  <c r="L18" i="17" l="1"/>
  <c r="M17" i="17" s="1"/>
  <c r="N17" i="17" s="1"/>
  <c r="G23" i="17" l="1"/>
  <c r="G24" i="17"/>
  <c r="B83" i="14"/>
  <c r="I83" i="14" s="1"/>
  <c r="B82" i="14"/>
  <c r="I82" i="14" s="1"/>
  <c r="B81" i="14"/>
  <c r="I81" i="14" s="1"/>
  <c r="B80" i="14"/>
  <c r="I80" i="14" s="1"/>
  <c r="B79" i="14"/>
  <c r="I79" i="14" s="1"/>
  <c r="B78" i="14"/>
  <c r="I78" i="14" s="1"/>
  <c r="B77" i="14"/>
  <c r="I77" i="14" s="1"/>
  <c r="B76" i="14"/>
  <c r="I76" i="14" s="1"/>
  <c r="B75" i="14"/>
  <c r="I75" i="14" s="1"/>
  <c r="B74" i="14"/>
  <c r="I74" i="14" s="1"/>
  <c r="B73" i="14"/>
  <c r="I73" i="14" s="1"/>
  <c r="B72" i="14"/>
  <c r="I72" i="14" s="1"/>
  <c r="B71" i="14"/>
  <c r="I71" i="14" s="1"/>
  <c r="B70" i="14"/>
  <c r="I70" i="14" s="1"/>
  <c r="B69" i="14"/>
  <c r="I69" i="14" s="1"/>
  <c r="B68" i="14"/>
  <c r="I68" i="14" s="1"/>
  <c r="B67" i="14"/>
  <c r="I67" i="14" s="1"/>
  <c r="B66" i="14"/>
  <c r="I66" i="14" s="1"/>
  <c r="B65" i="14"/>
  <c r="I65" i="14" s="1"/>
  <c r="B64" i="14"/>
  <c r="I64" i="14" s="1"/>
  <c r="B63" i="14"/>
  <c r="I63" i="14" s="1"/>
  <c r="B62" i="14"/>
  <c r="I62" i="14" s="1"/>
  <c r="B61" i="14"/>
  <c r="I61" i="14" s="1"/>
  <c r="B60" i="14"/>
  <c r="I60" i="14" s="1"/>
  <c r="B59" i="14"/>
  <c r="I59" i="14" s="1"/>
  <c r="B58" i="14"/>
  <c r="I58" i="14" s="1"/>
  <c r="B57" i="14"/>
  <c r="I57" i="14" s="1"/>
  <c r="B56" i="14"/>
  <c r="I56" i="14" s="1"/>
  <c r="B55" i="14"/>
  <c r="I55" i="14" s="1"/>
  <c r="B54" i="14"/>
  <c r="I54" i="14" s="1"/>
  <c r="B53" i="14"/>
  <c r="I53" i="14" s="1"/>
  <c r="B52" i="14"/>
  <c r="I52" i="14" s="1"/>
  <c r="B51" i="14"/>
  <c r="I51" i="14" s="1"/>
  <c r="B50" i="14"/>
  <c r="I50" i="14" s="1"/>
  <c r="B49" i="14"/>
  <c r="I49" i="14" s="1"/>
  <c r="B48" i="14"/>
  <c r="I48" i="14" s="1"/>
  <c r="B47" i="14"/>
  <c r="I47" i="14" s="1"/>
  <c r="B46" i="14"/>
  <c r="I46" i="14" s="1"/>
  <c r="B45" i="14"/>
  <c r="I45" i="14" s="1"/>
  <c r="B44" i="14"/>
  <c r="I44" i="14" s="1"/>
  <c r="B43" i="14"/>
  <c r="I43" i="14" s="1"/>
  <c r="B42" i="14"/>
  <c r="I42" i="14" s="1"/>
  <c r="B41" i="14"/>
  <c r="I41" i="14" s="1"/>
  <c r="B40" i="14"/>
  <c r="I40" i="14" s="1"/>
  <c r="B39" i="14"/>
  <c r="I39" i="14" s="1"/>
  <c r="B38" i="14"/>
  <c r="I38" i="14" s="1"/>
  <c r="B37" i="14"/>
  <c r="I37" i="14" s="1"/>
  <c r="B36" i="14"/>
  <c r="I36" i="14" s="1"/>
  <c r="B35" i="14"/>
  <c r="I35" i="14" s="1"/>
  <c r="B34" i="14"/>
  <c r="I34" i="14" s="1"/>
  <c r="B33" i="14"/>
  <c r="I33" i="14" s="1"/>
  <c r="B32" i="14"/>
  <c r="I32" i="14" s="1"/>
  <c r="B31" i="14"/>
  <c r="I31" i="14" s="1"/>
  <c r="B30" i="14"/>
  <c r="I30" i="14" s="1"/>
  <c r="B29" i="14"/>
  <c r="I29" i="14" s="1"/>
  <c r="B28" i="14"/>
  <c r="I28" i="14" s="1"/>
  <c r="B27" i="14"/>
  <c r="I27" i="14" s="1"/>
  <c r="B26" i="14"/>
  <c r="I26" i="14" s="1"/>
  <c r="B25" i="14"/>
  <c r="I25" i="14" s="1"/>
  <c r="B24" i="14"/>
  <c r="I24" i="14" s="1"/>
  <c r="B23" i="14"/>
  <c r="I23" i="14" s="1"/>
  <c r="B13" i="14"/>
  <c r="F24" i="14" s="1"/>
  <c r="B14" i="14" l="1"/>
  <c r="C74" i="14"/>
  <c r="C75" i="14"/>
  <c r="C79" i="14"/>
  <c r="C83" i="14"/>
  <c r="C26" i="14"/>
  <c r="C77" i="14"/>
  <c r="C81" i="14"/>
  <c r="C24" i="14"/>
  <c r="C28" i="14"/>
  <c r="C32" i="14"/>
  <c r="C30" i="14"/>
  <c r="C31" i="14"/>
  <c r="C27" i="14"/>
  <c r="C23" i="14"/>
  <c r="C80" i="14"/>
  <c r="C76" i="14"/>
  <c r="C29" i="14"/>
  <c r="C25" i="14"/>
  <c r="C82" i="14"/>
  <c r="C78" i="14"/>
  <c r="C70" i="14"/>
  <c r="C48" i="14" l="1"/>
  <c r="C50" i="14"/>
  <c r="C65" i="14"/>
  <c r="C57" i="14"/>
  <c r="C43" i="14"/>
  <c r="C63" i="14"/>
  <c r="C41" i="14"/>
  <c r="C59" i="14"/>
  <c r="C64" i="14"/>
  <c r="C58" i="14"/>
  <c r="C61" i="14"/>
  <c r="C73" i="14"/>
  <c r="C36" i="14"/>
  <c r="C69" i="14"/>
  <c r="C47" i="14"/>
  <c r="C71" i="14"/>
  <c r="C45" i="14"/>
  <c r="C67" i="14"/>
  <c r="C68" i="14"/>
  <c r="C62" i="14"/>
  <c r="C34" i="14"/>
  <c r="C40" i="14"/>
  <c r="C42" i="14"/>
  <c r="C35" i="14"/>
  <c r="C51" i="14"/>
  <c r="C33" i="14"/>
  <c r="C49" i="14"/>
  <c r="C56" i="14"/>
  <c r="C72" i="14"/>
  <c r="C66" i="14"/>
  <c r="C38" i="14"/>
  <c r="C44" i="14"/>
  <c r="C46" i="14"/>
  <c r="C52" i="14"/>
  <c r="C39" i="14"/>
  <c r="C55" i="14"/>
  <c r="C37" i="14"/>
  <c r="C53" i="14"/>
  <c r="C60" i="14"/>
  <c r="C54" i="14"/>
  <c r="B133" i="12"/>
  <c r="B134" i="12"/>
  <c r="B135" i="12"/>
  <c r="B136" i="12"/>
  <c r="B137" i="12"/>
  <c r="B138" i="12"/>
  <c r="B139" i="12"/>
  <c r="B140" i="12"/>
  <c r="B141" i="12"/>
  <c r="B142" i="12"/>
  <c r="B143" i="12"/>
  <c r="N24" i="12" s="1"/>
  <c r="B123" i="12"/>
  <c r="B124" i="12"/>
  <c r="B125" i="12"/>
  <c r="B126" i="12"/>
  <c r="B127" i="12"/>
  <c r="B128" i="12"/>
  <c r="B129" i="12"/>
  <c r="B130" i="12"/>
  <c r="B131" i="12"/>
  <c r="B132" i="12"/>
  <c r="B32" i="12"/>
  <c r="B33" i="12"/>
  <c r="B34" i="12"/>
  <c r="B35" i="12"/>
  <c r="B36" i="12"/>
  <c r="B37" i="12"/>
  <c r="B38" i="12"/>
  <c r="B39" i="12"/>
  <c r="B40" i="12"/>
  <c r="B41" i="12"/>
  <c r="B114" i="12"/>
  <c r="B115" i="12"/>
  <c r="B116" i="12"/>
  <c r="B117" i="12"/>
  <c r="B118" i="12"/>
  <c r="B119" i="12"/>
  <c r="B120" i="12"/>
  <c r="B121" i="12"/>
  <c r="B122" i="12"/>
  <c r="B23" i="12"/>
  <c r="N23" i="12" s="1"/>
  <c r="B24" i="12"/>
  <c r="B25" i="12"/>
  <c r="B26" i="12"/>
  <c r="B27" i="12"/>
  <c r="B28" i="12"/>
  <c r="B29" i="12"/>
  <c r="B30" i="12"/>
  <c r="B31" i="12"/>
  <c r="B42" i="12"/>
  <c r="B43" i="12"/>
  <c r="B44" i="12"/>
  <c r="B45" i="12"/>
  <c r="B46" i="12"/>
  <c r="B47" i="12"/>
  <c r="B48" i="12"/>
  <c r="B49" i="12"/>
  <c r="B50" i="12"/>
  <c r="B51" i="12"/>
  <c r="B52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13" i="12"/>
  <c r="E11" i="12" l="1"/>
  <c r="E14" i="12"/>
  <c r="R114" i="12"/>
  <c r="R118" i="12"/>
  <c r="R122" i="12"/>
  <c r="R126" i="12"/>
  <c r="R130" i="12"/>
  <c r="R134" i="12"/>
  <c r="R138" i="12"/>
  <c r="R142" i="12"/>
  <c r="R26" i="12"/>
  <c r="R30" i="12"/>
  <c r="R34" i="12"/>
  <c r="R38" i="12"/>
  <c r="R42" i="12"/>
  <c r="R46" i="12"/>
  <c r="R50" i="12"/>
  <c r="R54" i="12"/>
  <c r="R58" i="12"/>
  <c r="R62" i="12"/>
  <c r="R66" i="12"/>
  <c r="R70" i="12"/>
  <c r="R74" i="12"/>
  <c r="R78" i="12"/>
  <c r="R82" i="12"/>
  <c r="R86" i="12"/>
  <c r="R90" i="12"/>
  <c r="R94" i="12"/>
  <c r="R98" i="12"/>
  <c r="R102" i="12"/>
  <c r="R106" i="12"/>
  <c r="R110" i="12"/>
  <c r="R23" i="12"/>
  <c r="R115" i="12"/>
  <c r="R119" i="12"/>
  <c r="R123" i="12"/>
  <c r="R127" i="12"/>
  <c r="R131" i="12"/>
  <c r="R135" i="12"/>
  <c r="R139" i="12"/>
  <c r="R143" i="12"/>
  <c r="R27" i="12"/>
  <c r="R31" i="12"/>
  <c r="R35" i="12"/>
  <c r="R39" i="12"/>
  <c r="R43" i="12"/>
  <c r="R47" i="12"/>
  <c r="R51" i="12"/>
  <c r="R55" i="12"/>
  <c r="R59" i="12"/>
  <c r="R63" i="12"/>
  <c r="R67" i="12"/>
  <c r="R71" i="12"/>
  <c r="R75" i="12"/>
  <c r="R79" i="12"/>
  <c r="R83" i="12"/>
  <c r="R87" i="12"/>
  <c r="R91" i="12"/>
  <c r="R95" i="12"/>
  <c r="R99" i="12"/>
  <c r="R103" i="12"/>
  <c r="R107" i="12"/>
  <c r="R111" i="12"/>
  <c r="R117" i="12"/>
  <c r="R125" i="12"/>
  <c r="R133" i="12"/>
  <c r="R141" i="12"/>
  <c r="R29" i="12"/>
  <c r="R37" i="12"/>
  <c r="R45" i="12"/>
  <c r="R57" i="12"/>
  <c r="R65" i="12"/>
  <c r="R73" i="12"/>
  <c r="R81" i="12"/>
  <c r="R89" i="12"/>
  <c r="R97" i="12"/>
  <c r="R105" i="12"/>
  <c r="R113" i="12"/>
  <c r="R116" i="12"/>
  <c r="R120" i="12"/>
  <c r="R124" i="12"/>
  <c r="R128" i="12"/>
  <c r="R132" i="12"/>
  <c r="R136" i="12"/>
  <c r="R140" i="12"/>
  <c r="R24" i="12"/>
  <c r="R28" i="12"/>
  <c r="R32" i="12"/>
  <c r="R36" i="12"/>
  <c r="R40" i="12"/>
  <c r="R44" i="12"/>
  <c r="R48" i="12"/>
  <c r="R52" i="12"/>
  <c r="R56" i="12"/>
  <c r="R60" i="12"/>
  <c r="R64" i="12"/>
  <c r="R68" i="12"/>
  <c r="R72" i="12"/>
  <c r="R76" i="12"/>
  <c r="R80" i="12"/>
  <c r="R84" i="12"/>
  <c r="R88" i="12"/>
  <c r="R92" i="12"/>
  <c r="R96" i="12"/>
  <c r="R100" i="12"/>
  <c r="R104" i="12"/>
  <c r="R108" i="12"/>
  <c r="R112" i="12"/>
  <c r="R121" i="12"/>
  <c r="R129" i="12"/>
  <c r="R137" i="12"/>
  <c r="R25" i="12"/>
  <c r="R33" i="12"/>
  <c r="R41" i="12"/>
  <c r="R49" i="12"/>
  <c r="R53" i="12"/>
  <c r="R61" i="12"/>
  <c r="R69" i="12"/>
  <c r="R77" i="12"/>
  <c r="R85" i="12"/>
  <c r="R93" i="12"/>
  <c r="R101" i="12"/>
  <c r="R109" i="12"/>
  <c r="G24" i="14"/>
  <c r="G23" i="14"/>
  <c r="D33" i="14"/>
  <c r="K33" i="14" s="1"/>
  <c r="D51" i="14"/>
  <c r="K51" i="14" s="1"/>
  <c r="D83" i="14"/>
  <c r="K83" i="14" s="1"/>
  <c r="D78" i="14"/>
  <c r="K78" i="14" s="1"/>
  <c r="D67" i="14"/>
  <c r="K67" i="14" s="1"/>
  <c r="D79" i="14"/>
  <c r="K79" i="14" s="1"/>
  <c r="D69" i="14"/>
  <c r="K69" i="14" s="1"/>
  <c r="D72" i="14"/>
  <c r="K72" i="14" s="1"/>
  <c r="D46" i="14"/>
  <c r="K46" i="14" s="1"/>
  <c r="D31" i="14"/>
  <c r="K31" i="14" s="1"/>
  <c r="D68" i="14"/>
  <c r="K68" i="14" s="1"/>
  <c r="D48" i="14"/>
  <c r="K48" i="14" s="1"/>
  <c r="D32" i="14"/>
  <c r="K32" i="14" s="1"/>
  <c r="D24" i="14"/>
  <c r="K24" i="14" s="1"/>
  <c r="D53" i="14"/>
  <c r="K53" i="14" s="1"/>
  <c r="D39" i="14"/>
  <c r="K39" i="14" s="1"/>
  <c r="D66" i="14"/>
  <c r="K66" i="14" s="1"/>
  <c r="D35" i="14"/>
  <c r="K35" i="14" s="1"/>
  <c r="D62" i="14"/>
  <c r="K62" i="14" s="1"/>
  <c r="D81" i="14"/>
  <c r="K81" i="14" s="1"/>
  <c r="D82" i="14"/>
  <c r="K82" i="14" s="1"/>
  <c r="D76" i="14"/>
  <c r="K76" i="14" s="1"/>
  <c r="D63" i="14"/>
  <c r="K63" i="14" s="1"/>
  <c r="D77" i="14"/>
  <c r="K77" i="14" s="1"/>
  <c r="D65" i="14"/>
  <c r="K65" i="14" s="1"/>
  <c r="D64" i="14"/>
  <c r="K64" i="14" s="1"/>
  <c r="D42" i="14"/>
  <c r="K42" i="14" s="1"/>
  <c r="D29" i="14"/>
  <c r="K29" i="14" s="1"/>
  <c r="D60" i="14"/>
  <c r="K60" i="14" s="1"/>
  <c r="D44" i="14"/>
  <c r="K44" i="14" s="1"/>
  <c r="D30" i="14"/>
  <c r="K30" i="14" s="1"/>
  <c r="D43" i="14"/>
  <c r="K43" i="14" s="1"/>
  <c r="D45" i="14"/>
  <c r="K45" i="14" s="1"/>
  <c r="D70" i="14"/>
  <c r="K70" i="14" s="1"/>
  <c r="D80" i="14"/>
  <c r="K80" i="14" s="1"/>
  <c r="D74" i="14"/>
  <c r="K74" i="14" s="1"/>
  <c r="D59" i="14"/>
  <c r="K59" i="14" s="1"/>
  <c r="D75" i="14"/>
  <c r="K75" i="14" s="1"/>
  <c r="D61" i="14"/>
  <c r="K61" i="14" s="1"/>
  <c r="D56" i="14"/>
  <c r="K56" i="14" s="1"/>
  <c r="D38" i="14"/>
  <c r="K38" i="14" s="1"/>
  <c r="D27" i="14"/>
  <c r="K27" i="14" s="1"/>
  <c r="D54" i="14"/>
  <c r="K54" i="14" s="1"/>
  <c r="D40" i="14"/>
  <c r="K40" i="14" s="1"/>
  <c r="D28" i="14"/>
  <c r="K28" i="14" s="1"/>
  <c r="D37" i="14"/>
  <c r="K37" i="14" s="1"/>
  <c r="D49" i="14"/>
  <c r="K49" i="14" s="1"/>
  <c r="D58" i="14"/>
  <c r="K58" i="14" s="1"/>
  <c r="D23" i="14"/>
  <c r="K23" i="14" s="1"/>
  <c r="D41" i="14"/>
  <c r="K41" i="14" s="1"/>
  <c r="D71" i="14"/>
  <c r="K71" i="14" s="1"/>
  <c r="D55" i="14"/>
  <c r="K55" i="14" s="1"/>
  <c r="D73" i="14"/>
  <c r="K73" i="14" s="1"/>
  <c r="D57" i="14"/>
  <c r="K57" i="14" s="1"/>
  <c r="D50" i="14"/>
  <c r="K50" i="14" s="1"/>
  <c r="D34" i="14"/>
  <c r="K34" i="14" s="1"/>
  <c r="D25" i="14"/>
  <c r="K25" i="14" s="1"/>
  <c r="D52" i="14"/>
  <c r="K52" i="14" s="1"/>
  <c r="D36" i="14"/>
  <c r="K36" i="14" s="1"/>
  <c r="D26" i="14"/>
  <c r="K26" i="14" s="1"/>
  <c r="D47" i="14"/>
  <c r="K47" i="14" s="1"/>
  <c r="B14" i="12"/>
  <c r="C53" i="12" l="1"/>
  <c r="C57" i="12"/>
  <c r="C61" i="12"/>
  <c r="C106" i="12"/>
  <c r="C110" i="12"/>
  <c r="C103" i="12"/>
  <c r="C55" i="12"/>
  <c r="C59" i="12"/>
  <c r="C104" i="12"/>
  <c r="C108" i="12"/>
  <c r="C112" i="12"/>
  <c r="C54" i="12"/>
  <c r="C58" i="12"/>
  <c r="C62" i="12"/>
  <c r="C107" i="12"/>
  <c r="C111" i="12"/>
  <c r="C56" i="12"/>
  <c r="C60" i="12"/>
  <c r="C105" i="12"/>
  <c r="C109" i="12"/>
  <c r="C113" i="12"/>
  <c r="M32" i="14"/>
  <c r="M34" i="14"/>
  <c r="M36" i="14"/>
  <c r="M38" i="14"/>
  <c r="M40" i="14"/>
  <c r="M42" i="14"/>
  <c r="M44" i="14"/>
  <c r="M46" i="14"/>
  <c r="M48" i="14"/>
  <c r="M50" i="14"/>
  <c r="M52" i="14"/>
  <c r="M54" i="14"/>
  <c r="M56" i="14"/>
  <c r="M58" i="14"/>
  <c r="M60" i="14"/>
  <c r="M62" i="14"/>
  <c r="M64" i="14"/>
  <c r="M66" i="14"/>
  <c r="M68" i="14"/>
  <c r="M70" i="14"/>
  <c r="M72" i="14"/>
  <c r="M74" i="14"/>
  <c r="M76" i="14"/>
  <c r="M78" i="14"/>
  <c r="M80" i="14"/>
  <c r="M82" i="14"/>
  <c r="N32" i="14"/>
  <c r="N34" i="14"/>
  <c r="N36" i="14"/>
  <c r="N38" i="14"/>
  <c r="N40" i="14"/>
  <c r="N42" i="14"/>
  <c r="N44" i="14"/>
  <c r="N46" i="14"/>
  <c r="N48" i="14"/>
  <c r="N50" i="14"/>
  <c r="N52" i="14"/>
  <c r="N54" i="14"/>
  <c r="N56" i="14"/>
  <c r="N58" i="14"/>
  <c r="N60" i="14"/>
  <c r="N62" i="14"/>
  <c r="N64" i="14"/>
  <c r="N66" i="14"/>
  <c r="N68" i="14"/>
  <c r="N70" i="14"/>
  <c r="N72" i="14"/>
  <c r="N74" i="14"/>
  <c r="N76" i="14"/>
  <c r="N78" i="14"/>
  <c r="N80" i="14"/>
  <c r="N82" i="14"/>
  <c r="M33" i="14"/>
  <c r="M35" i="14"/>
  <c r="M37" i="14"/>
  <c r="M39" i="14"/>
  <c r="M41" i="14"/>
  <c r="M43" i="14"/>
  <c r="M45" i="14"/>
  <c r="M47" i="14"/>
  <c r="M49" i="14"/>
  <c r="M51" i="14"/>
  <c r="M53" i="14"/>
  <c r="M55" i="14"/>
  <c r="M57" i="14"/>
  <c r="M59" i="14"/>
  <c r="M61" i="14"/>
  <c r="M63" i="14"/>
  <c r="M67" i="14"/>
  <c r="M69" i="14"/>
  <c r="M71" i="14"/>
  <c r="M73" i="14"/>
  <c r="M75" i="14"/>
  <c r="M77" i="14"/>
  <c r="M79" i="14"/>
  <c r="M81" i="14"/>
  <c r="M83" i="14"/>
  <c r="N33" i="14"/>
  <c r="N35" i="14"/>
  <c r="N39" i="14"/>
  <c r="N41" i="14"/>
  <c r="N43" i="14"/>
  <c r="N47" i="14"/>
  <c r="N51" i="14"/>
  <c r="N55" i="14"/>
  <c r="M65" i="14"/>
  <c r="N37" i="14"/>
  <c r="N45" i="14"/>
  <c r="N49" i="14"/>
  <c r="N53" i="14"/>
  <c r="N57" i="14"/>
  <c r="N63" i="14"/>
  <c r="N71" i="14"/>
  <c r="N79" i="14"/>
  <c r="N65" i="14"/>
  <c r="N73" i="14"/>
  <c r="N81" i="14"/>
  <c r="N59" i="14"/>
  <c r="N67" i="14"/>
  <c r="N75" i="14"/>
  <c r="N83" i="14"/>
  <c r="N61" i="14"/>
  <c r="N69" i="14"/>
  <c r="N77" i="14"/>
  <c r="M24" i="14"/>
  <c r="N28" i="14"/>
  <c r="M25" i="14"/>
  <c r="M27" i="14"/>
  <c r="M29" i="14"/>
  <c r="M31" i="14"/>
  <c r="N25" i="14"/>
  <c r="N27" i="14"/>
  <c r="N29" i="14"/>
  <c r="N31" i="14"/>
  <c r="M26" i="14"/>
  <c r="M28" i="14"/>
  <c r="M30" i="14"/>
  <c r="N24" i="14"/>
  <c r="N26" i="14"/>
  <c r="N30" i="14"/>
  <c r="N23" i="14"/>
  <c r="M23" i="14"/>
  <c r="B18" i="14"/>
  <c r="B19" i="14" s="1"/>
  <c r="P23" i="14" s="1"/>
  <c r="B17" i="14"/>
  <c r="P53" i="14" l="1"/>
  <c r="P73" i="14"/>
  <c r="P29" i="14"/>
  <c r="P38" i="14"/>
  <c r="P62" i="14"/>
  <c r="P71" i="14"/>
  <c r="P47" i="14"/>
  <c r="P57" i="14"/>
  <c r="P43" i="14"/>
  <c r="P33" i="14"/>
  <c r="P25" i="14"/>
  <c r="P30" i="14"/>
  <c r="P66" i="14"/>
  <c r="P24" i="14"/>
  <c r="P48" i="14"/>
  <c r="P40" i="14"/>
  <c r="P32" i="14"/>
  <c r="P64" i="14"/>
  <c r="P49" i="14"/>
  <c r="P37" i="14"/>
  <c r="P26" i="14"/>
  <c r="P52" i="14"/>
  <c r="P83" i="14"/>
  <c r="P80" i="14"/>
  <c r="P65" i="14"/>
  <c r="P76" i="14"/>
  <c r="P39" i="14"/>
  <c r="P58" i="14"/>
  <c r="P82" i="14"/>
  <c r="P70" i="14"/>
  <c r="P69" i="14"/>
  <c r="P63" i="14"/>
  <c r="P61" i="14"/>
  <c r="P50" i="14"/>
  <c r="P45" i="14"/>
  <c r="P51" i="14"/>
  <c r="P44" i="14"/>
  <c r="P78" i="14"/>
  <c r="P81" i="14"/>
  <c r="P74" i="14"/>
  <c r="P55" i="14"/>
  <c r="P67" i="14"/>
  <c r="P60" i="14"/>
  <c r="P31" i="14"/>
  <c r="P27" i="14"/>
  <c r="P68" i="14"/>
  <c r="P42" i="14"/>
  <c r="P54" i="14"/>
  <c r="P36" i="14"/>
  <c r="P28" i="14"/>
  <c r="P79" i="14"/>
  <c r="P75" i="14"/>
  <c r="P72" i="14"/>
  <c r="P77" i="14"/>
  <c r="P56" i="14"/>
  <c r="P34" i="14"/>
  <c r="P46" i="14"/>
  <c r="P59" i="14"/>
  <c r="P35" i="14"/>
  <c r="P41" i="14"/>
  <c r="M52" i="9" l="1"/>
  <c r="T26" i="9" l="1" a="1"/>
  <c r="U26" i="9" s="1"/>
  <c r="T26" i="9" l="1"/>
  <c r="T30" i="9"/>
  <c r="U29" i="9"/>
  <c r="T28" i="9"/>
  <c r="U27" i="9"/>
  <c r="T29" i="9"/>
  <c r="T27" i="9"/>
  <c r="U30" i="9"/>
  <c r="U28" i="9"/>
  <c r="B23" i="9" l="1"/>
  <c r="P7" i="9" s="1"/>
  <c r="Q7" i="9" l="1"/>
  <c r="L60" i="9"/>
  <c r="B24" i="18"/>
  <c r="C12" i="10"/>
  <c r="D23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13" i="9"/>
  <c r="O8" i="9" s="1"/>
  <c r="P8" i="9" s="1"/>
  <c r="Q8" i="9" l="1"/>
  <c r="L61" i="9"/>
  <c r="D31" i="9"/>
  <c r="B32" i="18"/>
  <c r="C20" i="10"/>
  <c r="D47" i="9"/>
  <c r="B48" i="18"/>
  <c r="C36" i="10"/>
  <c r="D71" i="9"/>
  <c r="B72" i="18"/>
  <c r="C60" i="10"/>
  <c r="D27" i="9"/>
  <c r="B28" i="18"/>
  <c r="C16" i="10"/>
  <c r="D35" i="9"/>
  <c r="B36" i="18"/>
  <c r="C24" i="10"/>
  <c r="D39" i="9"/>
  <c r="B40" i="18"/>
  <c r="C28" i="10"/>
  <c r="D43" i="9"/>
  <c r="B44" i="18"/>
  <c r="C32" i="10"/>
  <c r="D51" i="9"/>
  <c r="B52" i="18"/>
  <c r="C40" i="10"/>
  <c r="D55" i="9"/>
  <c r="B56" i="18"/>
  <c r="C44" i="10"/>
  <c r="D59" i="9"/>
  <c r="B60" i="18"/>
  <c r="C48" i="10"/>
  <c r="D63" i="9"/>
  <c r="B64" i="18"/>
  <c r="C52" i="10"/>
  <c r="D67" i="9"/>
  <c r="B68" i="18"/>
  <c r="C56" i="10"/>
  <c r="D75" i="9"/>
  <c r="B76" i="18"/>
  <c r="C64" i="10"/>
  <c r="D79" i="9"/>
  <c r="B80" i="18"/>
  <c r="C68" i="10"/>
  <c r="B84" i="18"/>
  <c r="Q84" i="18" s="1"/>
  <c r="C72" i="10"/>
  <c r="D24" i="9"/>
  <c r="B25" i="18"/>
  <c r="C13" i="10"/>
  <c r="D28" i="9"/>
  <c r="B29" i="18"/>
  <c r="C17" i="10"/>
  <c r="D32" i="9"/>
  <c r="B33" i="18"/>
  <c r="C21" i="10"/>
  <c r="D36" i="9"/>
  <c r="B37" i="18"/>
  <c r="C25" i="10"/>
  <c r="D40" i="9"/>
  <c r="B41" i="18"/>
  <c r="C29" i="10"/>
  <c r="D44" i="9"/>
  <c r="B45" i="18"/>
  <c r="C33" i="10"/>
  <c r="D48" i="9"/>
  <c r="B49" i="18"/>
  <c r="C37" i="10"/>
  <c r="D52" i="9"/>
  <c r="B53" i="18"/>
  <c r="C41" i="10"/>
  <c r="D56" i="9"/>
  <c r="B57" i="18"/>
  <c r="C45" i="10"/>
  <c r="D60" i="9"/>
  <c r="B61" i="18"/>
  <c r="C49" i="10"/>
  <c r="D64" i="9"/>
  <c r="B65" i="18"/>
  <c r="C53" i="10"/>
  <c r="D68" i="9"/>
  <c r="B69" i="18"/>
  <c r="C57" i="10"/>
  <c r="D72" i="9"/>
  <c r="B73" i="18"/>
  <c r="C61" i="10"/>
  <c r="D76" i="9"/>
  <c r="B77" i="18"/>
  <c r="C65" i="10"/>
  <c r="D80" i="9"/>
  <c r="B81" i="18"/>
  <c r="C69" i="10"/>
  <c r="D25" i="9"/>
  <c r="B26" i="18"/>
  <c r="C14" i="10"/>
  <c r="D29" i="9"/>
  <c r="B30" i="18"/>
  <c r="C18" i="10"/>
  <c r="D33" i="9"/>
  <c r="B34" i="18"/>
  <c r="C22" i="10"/>
  <c r="D37" i="9"/>
  <c r="B38" i="18"/>
  <c r="C26" i="10"/>
  <c r="D41" i="9"/>
  <c r="B42" i="18"/>
  <c r="C30" i="10"/>
  <c r="D45" i="9"/>
  <c r="B46" i="18"/>
  <c r="C34" i="10"/>
  <c r="D49" i="9"/>
  <c r="B50" i="18"/>
  <c r="C38" i="10"/>
  <c r="D53" i="9"/>
  <c r="B54" i="18"/>
  <c r="C42" i="10"/>
  <c r="D57" i="9"/>
  <c r="B58" i="18"/>
  <c r="C46" i="10"/>
  <c r="D61" i="9"/>
  <c r="B62" i="18"/>
  <c r="C50" i="10"/>
  <c r="D65" i="9"/>
  <c r="B66" i="18"/>
  <c r="C54" i="10"/>
  <c r="D69" i="9"/>
  <c r="B70" i="18"/>
  <c r="C58" i="10"/>
  <c r="D73" i="9"/>
  <c r="B74" i="18"/>
  <c r="C62" i="10"/>
  <c r="D77" i="9"/>
  <c r="B78" i="18"/>
  <c r="C66" i="10"/>
  <c r="D81" i="9"/>
  <c r="B82" i="18"/>
  <c r="C70" i="10"/>
  <c r="D26" i="9"/>
  <c r="B27" i="18"/>
  <c r="C15" i="10"/>
  <c r="D30" i="9"/>
  <c r="B31" i="18"/>
  <c r="C19" i="10"/>
  <c r="D34" i="9"/>
  <c r="B35" i="18"/>
  <c r="C23" i="10"/>
  <c r="D38" i="9"/>
  <c r="B39" i="18"/>
  <c r="C27" i="10"/>
  <c r="D42" i="9"/>
  <c r="B43" i="18"/>
  <c r="C31" i="10"/>
  <c r="D46" i="9"/>
  <c r="B47" i="18"/>
  <c r="C35" i="10"/>
  <c r="D50" i="9"/>
  <c r="B51" i="18"/>
  <c r="C39" i="10"/>
  <c r="D54" i="9"/>
  <c r="B55" i="18"/>
  <c r="C43" i="10"/>
  <c r="D58" i="9"/>
  <c r="B59" i="18"/>
  <c r="C47" i="10"/>
  <c r="D62" i="9"/>
  <c r="B63" i="18"/>
  <c r="C51" i="10"/>
  <c r="D66" i="9"/>
  <c r="B67" i="18"/>
  <c r="C55" i="10"/>
  <c r="D70" i="9"/>
  <c r="B71" i="18"/>
  <c r="C59" i="10"/>
  <c r="D74" i="9"/>
  <c r="B75" i="18"/>
  <c r="C63" i="10"/>
  <c r="D78" i="9"/>
  <c r="B79" i="18"/>
  <c r="C67" i="10"/>
  <c r="D82" i="9"/>
  <c r="B83" i="18"/>
  <c r="C71" i="10"/>
  <c r="Q24" i="18"/>
  <c r="R7" i="18"/>
  <c r="S7" i="18" s="1"/>
  <c r="R37" i="9"/>
  <c r="L26" i="9"/>
  <c r="D83" i="9"/>
  <c r="L25" i="9"/>
  <c r="L35" i="9" s="1"/>
  <c r="B14" i="9"/>
  <c r="C57" i="9" l="1"/>
  <c r="D46" i="10" s="1"/>
  <c r="F12" i="10" a="1"/>
  <c r="G12" i="10" s="1"/>
  <c r="C39" i="9"/>
  <c r="C40" i="18" s="1"/>
  <c r="C54" i="9"/>
  <c r="C55" i="18" s="1"/>
  <c r="R8" i="18"/>
  <c r="S8" i="18" s="1"/>
  <c r="C25" i="9"/>
  <c r="D14" i="10" s="1"/>
  <c r="C35" i="9"/>
  <c r="C69" i="9"/>
  <c r="C61" i="9"/>
  <c r="C29" i="9"/>
  <c r="C49" i="9"/>
  <c r="C56" i="9"/>
  <c r="C67" i="9"/>
  <c r="C71" i="9"/>
  <c r="C74" i="9"/>
  <c r="C62" i="9"/>
  <c r="C60" i="9"/>
  <c r="C66" i="9"/>
  <c r="C80" i="9"/>
  <c r="C68" i="9"/>
  <c r="C30" i="9"/>
  <c r="C28" i="9"/>
  <c r="C34" i="9"/>
  <c r="C48" i="9"/>
  <c r="C59" i="9"/>
  <c r="C79" i="9"/>
  <c r="C81" i="9"/>
  <c r="C27" i="9"/>
  <c r="C36" i="9"/>
  <c r="C37" i="9"/>
  <c r="C42" i="9"/>
  <c r="C47" i="9"/>
  <c r="C72" i="9"/>
  <c r="C73" i="9"/>
  <c r="C78" i="9"/>
  <c r="C83" i="9"/>
  <c r="C76" i="9"/>
  <c r="C77" i="9"/>
  <c r="C82" i="9"/>
  <c r="C32" i="9"/>
  <c r="C33" i="9"/>
  <c r="C38" i="9"/>
  <c r="C43" i="9"/>
  <c r="C52" i="9"/>
  <c r="C53" i="9"/>
  <c r="C58" i="9"/>
  <c r="C63" i="9"/>
  <c r="C40" i="9"/>
  <c r="C41" i="9"/>
  <c r="C46" i="9"/>
  <c r="C51" i="9"/>
  <c r="C44" i="9"/>
  <c r="C45" i="9"/>
  <c r="C50" i="9"/>
  <c r="C55" i="9"/>
  <c r="C64" i="9"/>
  <c r="C65" i="9"/>
  <c r="C70" i="9"/>
  <c r="C75" i="9"/>
  <c r="C23" i="9"/>
  <c r="C26" i="9"/>
  <c r="C31" i="9"/>
  <c r="C24" i="9"/>
  <c r="U63" i="9" l="1"/>
  <c r="U62" i="9"/>
  <c r="V63" i="9"/>
  <c r="V62" i="9"/>
  <c r="C24" i="18"/>
  <c r="C58" i="18"/>
  <c r="D43" i="10"/>
  <c r="D28" i="10"/>
  <c r="F13" i="10"/>
  <c r="C26" i="18"/>
  <c r="F12" i="10"/>
  <c r="G13" i="10"/>
  <c r="D20" i="10"/>
  <c r="C32" i="18"/>
  <c r="D59" i="10"/>
  <c r="C71" i="18"/>
  <c r="D39" i="10"/>
  <c r="C51" i="18"/>
  <c r="D35" i="10"/>
  <c r="C47" i="18"/>
  <c r="D47" i="10"/>
  <c r="C59" i="18"/>
  <c r="D27" i="10"/>
  <c r="C39" i="18"/>
  <c r="D66" i="10"/>
  <c r="C78" i="18"/>
  <c r="D62" i="10"/>
  <c r="C74" i="18"/>
  <c r="D26" i="10"/>
  <c r="C38" i="18"/>
  <c r="D68" i="10"/>
  <c r="C80" i="18"/>
  <c r="D17" i="10"/>
  <c r="C29" i="18"/>
  <c r="D55" i="10"/>
  <c r="C67" i="18"/>
  <c r="D60" i="10"/>
  <c r="C72" i="18"/>
  <c r="D18" i="10"/>
  <c r="C30" i="18"/>
  <c r="D15" i="10"/>
  <c r="C27" i="18"/>
  <c r="D54" i="10"/>
  <c r="C66" i="18"/>
  <c r="D34" i="10"/>
  <c r="C46" i="18"/>
  <c r="D30" i="10"/>
  <c r="C42" i="18"/>
  <c r="D42" i="10"/>
  <c r="C54" i="18"/>
  <c r="D22" i="10"/>
  <c r="C34" i="18"/>
  <c r="D65" i="10"/>
  <c r="C77" i="18"/>
  <c r="D61" i="10"/>
  <c r="C73" i="18"/>
  <c r="D25" i="10"/>
  <c r="C37" i="18"/>
  <c r="D48" i="10"/>
  <c r="C60" i="18"/>
  <c r="D19" i="10"/>
  <c r="C31" i="18"/>
  <c r="D49" i="10"/>
  <c r="C61" i="18"/>
  <c r="D56" i="10"/>
  <c r="C68" i="18"/>
  <c r="D50" i="10"/>
  <c r="C62" i="18"/>
  <c r="D53" i="10"/>
  <c r="C65" i="18"/>
  <c r="D33" i="10"/>
  <c r="C45" i="18"/>
  <c r="D29" i="10"/>
  <c r="C41" i="18"/>
  <c r="D41" i="10"/>
  <c r="C53" i="18"/>
  <c r="D21" i="10"/>
  <c r="C33" i="18"/>
  <c r="D72" i="10"/>
  <c r="C84" i="18"/>
  <c r="D36" i="10"/>
  <c r="C48" i="18"/>
  <c r="D16" i="10"/>
  <c r="C28" i="18"/>
  <c r="D37" i="10"/>
  <c r="C49" i="18"/>
  <c r="D57" i="10"/>
  <c r="C69" i="18"/>
  <c r="D51" i="10"/>
  <c r="C63" i="18"/>
  <c r="D45" i="10"/>
  <c r="C57" i="18"/>
  <c r="D58" i="10"/>
  <c r="C70" i="18"/>
  <c r="D13" i="10"/>
  <c r="C25" i="18"/>
  <c r="D64" i="10"/>
  <c r="C76" i="18"/>
  <c r="D44" i="10"/>
  <c r="C56" i="18"/>
  <c r="D40" i="10"/>
  <c r="C52" i="18"/>
  <c r="D52" i="10"/>
  <c r="C64" i="18"/>
  <c r="D32" i="10"/>
  <c r="C44" i="18"/>
  <c r="D71" i="10"/>
  <c r="C83" i="18"/>
  <c r="D67" i="10"/>
  <c r="C79" i="18"/>
  <c r="D31" i="10"/>
  <c r="C43" i="18"/>
  <c r="D70" i="10"/>
  <c r="C82" i="18"/>
  <c r="D23" i="10"/>
  <c r="C35" i="18"/>
  <c r="D69" i="10"/>
  <c r="C81" i="18"/>
  <c r="D63" i="10"/>
  <c r="C75" i="18"/>
  <c r="D38" i="10"/>
  <c r="C50" i="18"/>
  <c r="D24" i="10"/>
  <c r="C36" i="18"/>
  <c r="D12" i="10"/>
  <c r="Q36" i="9"/>
  <c r="R34" i="9"/>
  <c r="Q34" i="9"/>
  <c r="Q42" i="9" a="1"/>
  <c r="Q26" i="9"/>
  <c r="L52" i="9" s="1"/>
  <c r="I69" i="9"/>
  <c r="I60" i="9"/>
  <c r="I24" i="9"/>
  <c r="I51" i="9"/>
  <c r="C84" i="9"/>
  <c r="I44" i="9"/>
  <c r="I63" i="9"/>
  <c r="I28" i="9"/>
  <c r="R30" i="9"/>
  <c r="I53" i="9"/>
  <c r="I78" i="9"/>
  <c r="C20" i="9"/>
  <c r="R27" i="9"/>
  <c r="I58" i="9"/>
  <c r="I37" i="9"/>
  <c r="I46" i="9"/>
  <c r="I31" i="9"/>
  <c r="I32" i="9"/>
  <c r="D20" i="9"/>
  <c r="L28" i="9"/>
  <c r="I26" i="9"/>
  <c r="I83" i="9"/>
  <c r="I76" i="9"/>
  <c r="N30" i="9"/>
  <c r="C17" i="9"/>
  <c r="R28" i="9"/>
  <c r="I23" i="9"/>
  <c r="I82" i="9"/>
  <c r="I81" i="9"/>
  <c r="I49" i="9"/>
  <c r="I75" i="9"/>
  <c r="I70" i="9"/>
  <c r="I72" i="9"/>
  <c r="I40" i="9"/>
  <c r="B19" i="9"/>
  <c r="N52" i="9" s="1"/>
  <c r="B18" i="9"/>
  <c r="H24" i="10" s="1"/>
  <c r="D17" i="9" a="1"/>
  <c r="D18" i="9" s="1"/>
  <c r="R26" i="9"/>
  <c r="Q30" i="9"/>
  <c r="Q27" i="9"/>
  <c r="L51" i="9" s="1"/>
  <c r="I79" i="9"/>
  <c r="I47" i="9"/>
  <c r="I74" i="9"/>
  <c r="I42" i="9"/>
  <c r="I77" i="9"/>
  <c r="I61" i="9"/>
  <c r="I45" i="9"/>
  <c r="I29" i="9"/>
  <c r="I67" i="9"/>
  <c r="I35" i="9"/>
  <c r="I62" i="9"/>
  <c r="I30" i="9"/>
  <c r="I68" i="9"/>
  <c r="I52" i="9"/>
  <c r="I36" i="9"/>
  <c r="B17" i="9"/>
  <c r="Q29" i="9"/>
  <c r="Q52" i="9" s="1"/>
  <c r="I55" i="9"/>
  <c r="I50" i="9"/>
  <c r="I65" i="9"/>
  <c r="I33" i="9"/>
  <c r="I43" i="9"/>
  <c r="I38" i="9"/>
  <c r="I56" i="9"/>
  <c r="C19" i="9"/>
  <c r="C18" i="9"/>
  <c r="F17" i="9"/>
  <c r="R29" i="9"/>
  <c r="L53" i="9" s="1"/>
  <c r="U65" i="9" s="1"/>
  <c r="Q28" i="9"/>
  <c r="L27" i="9"/>
  <c r="I71" i="9"/>
  <c r="I39" i="9"/>
  <c r="I66" i="9"/>
  <c r="I34" i="9"/>
  <c r="I73" i="9"/>
  <c r="I57" i="9"/>
  <c r="I41" i="9"/>
  <c r="I25" i="9"/>
  <c r="I59" i="9"/>
  <c r="I27" i="9"/>
  <c r="I54" i="9"/>
  <c r="I80" i="9"/>
  <c r="I64" i="9"/>
  <c r="I48" i="9"/>
  <c r="X63" i="9" l="1"/>
  <c r="X62" i="9"/>
  <c r="W63" i="9"/>
  <c r="W62" i="9"/>
  <c r="Q55" i="9"/>
  <c r="O56" i="9" s="1"/>
  <c r="R55" i="9"/>
  <c r="R7" i="9"/>
  <c r="R8" i="9"/>
  <c r="F16" i="10" a="1"/>
  <c r="G16" i="10" s="1"/>
  <c r="F20" i="10" a="1"/>
  <c r="F21" i="10" s="1"/>
  <c r="G32" i="10" a="1"/>
  <c r="G32" i="10" s="1"/>
  <c r="D9" i="18"/>
  <c r="D8" i="18"/>
  <c r="N29" i="9"/>
  <c r="H25" i="10"/>
  <c r="Q54" i="9"/>
  <c r="Q56" i="9" s="1"/>
  <c r="R42" i="9"/>
  <c r="R44" i="9"/>
  <c r="R46" i="9"/>
  <c r="Q43" i="9"/>
  <c r="Q45" i="9"/>
  <c r="R43" i="9"/>
  <c r="R45" i="9"/>
  <c r="Q42" i="9"/>
  <c r="Q44" i="9"/>
  <c r="Q46" i="9"/>
  <c r="M30" i="9"/>
  <c r="M29" i="9"/>
  <c r="E17" i="9"/>
  <c r="E18" i="9" s="1"/>
  <c r="E32" i="9"/>
  <c r="H32" i="9" s="1"/>
  <c r="E54" i="9"/>
  <c r="H54" i="9" s="1"/>
  <c r="D17" i="9"/>
  <c r="E33" i="9"/>
  <c r="H33" i="9" s="1"/>
  <c r="L54" i="9"/>
  <c r="L55" i="9"/>
  <c r="E59" i="9"/>
  <c r="H59" i="9" s="1"/>
  <c r="E38" i="9"/>
  <c r="H38" i="9" s="1"/>
  <c r="E64" i="9"/>
  <c r="H64" i="9" s="1"/>
  <c r="E43" i="9"/>
  <c r="H43" i="9" s="1"/>
  <c r="E81" i="9"/>
  <c r="H81" i="9" s="1"/>
  <c r="E48" i="9"/>
  <c r="H48" i="9" s="1"/>
  <c r="E27" i="9"/>
  <c r="H27" i="9" s="1"/>
  <c r="E49" i="9"/>
  <c r="H49" i="9" s="1"/>
  <c r="E80" i="9"/>
  <c r="H80" i="9" s="1"/>
  <c r="E75" i="9"/>
  <c r="H75" i="9" s="1"/>
  <c r="E70" i="9"/>
  <c r="H70" i="9" s="1"/>
  <c r="E65" i="9"/>
  <c r="H65" i="9" s="1"/>
  <c r="N54" i="9"/>
  <c r="E76" i="9"/>
  <c r="H76" i="9" s="1"/>
  <c r="E60" i="9"/>
  <c r="H60" i="9" s="1"/>
  <c r="E44" i="9"/>
  <c r="H44" i="9" s="1"/>
  <c r="E28" i="9"/>
  <c r="H28" i="9" s="1"/>
  <c r="E71" i="9"/>
  <c r="H71" i="9" s="1"/>
  <c r="E55" i="9"/>
  <c r="H55" i="9" s="1"/>
  <c r="E39" i="9"/>
  <c r="H39" i="9" s="1"/>
  <c r="E82" i="9"/>
  <c r="H82" i="9" s="1"/>
  <c r="E66" i="9"/>
  <c r="H66" i="9" s="1"/>
  <c r="E50" i="9"/>
  <c r="H50" i="9" s="1"/>
  <c r="E34" i="9"/>
  <c r="H34" i="9" s="1"/>
  <c r="E77" i="9"/>
  <c r="H77" i="9" s="1"/>
  <c r="E61" i="9"/>
  <c r="H61" i="9" s="1"/>
  <c r="E45" i="9"/>
  <c r="H45" i="9" s="1"/>
  <c r="E29" i="9"/>
  <c r="H29" i="9" s="1"/>
  <c r="B20" i="9"/>
  <c r="M31" i="9" s="1"/>
  <c r="E72" i="9"/>
  <c r="H72" i="9" s="1"/>
  <c r="E56" i="9"/>
  <c r="H56" i="9" s="1"/>
  <c r="E40" i="9"/>
  <c r="H40" i="9" s="1"/>
  <c r="E83" i="9"/>
  <c r="H83" i="9" s="1"/>
  <c r="E67" i="9"/>
  <c r="H67" i="9" s="1"/>
  <c r="E51" i="9"/>
  <c r="H51" i="9" s="1"/>
  <c r="E35" i="9"/>
  <c r="H35" i="9" s="1"/>
  <c r="E78" i="9"/>
  <c r="H78" i="9" s="1"/>
  <c r="E62" i="9"/>
  <c r="H62" i="9" s="1"/>
  <c r="E46" i="9"/>
  <c r="H46" i="9" s="1"/>
  <c r="E30" i="9"/>
  <c r="H30" i="9" s="1"/>
  <c r="E73" i="9"/>
  <c r="H73" i="9" s="1"/>
  <c r="E57" i="9"/>
  <c r="H57" i="9" s="1"/>
  <c r="E41" i="9"/>
  <c r="H41" i="9" s="1"/>
  <c r="E25" i="9"/>
  <c r="H25" i="9" s="1"/>
  <c r="E23" i="9"/>
  <c r="E68" i="9"/>
  <c r="H68" i="9" s="1"/>
  <c r="E52" i="9"/>
  <c r="H52" i="9" s="1"/>
  <c r="E36" i="9"/>
  <c r="H36" i="9" s="1"/>
  <c r="E79" i="9"/>
  <c r="H79" i="9" s="1"/>
  <c r="E63" i="9"/>
  <c r="H63" i="9" s="1"/>
  <c r="E47" i="9"/>
  <c r="H47" i="9" s="1"/>
  <c r="E31" i="9"/>
  <c r="H31" i="9" s="1"/>
  <c r="E74" i="9"/>
  <c r="H74" i="9" s="1"/>
  <c r="E58" i="9"/>
  <c r="H58" i="9" s="1"/>
  <c r="E42" i="9"/>
  <c r="H42" i="9" s="1"/>
  <c r="E26" i="9"/>
  <c r="H26" i="9" s="1"/>
  <c r="E69" i="9"/>
  <c r="H69" i="9" s="1"/>
  <c r="E53" i="9"/>
  <c r="H53" i="9" s="1"/>
  <c r="E37" i="9"/>
  <c r="H37" i="9" s="1"/>
  <c r="E24" i="9"/>
  <c r="H24" i="9" s="1"/>
  <c r="R84" i="18" l="1"/>
  <c r="F17" i="10"/>
  <c r="G17" i="10"/>
  <c r="F16" i="10"/>
  <c r="F20" i="10"/>
  <c r="T7" i="18"/>
  <c r="T8" i="18"/>
  <c r="G33" i="10"/>
  <c r="R24" i="18"/>
  <c r="R38" i="9"/>
  <c r="Q38" i="9"/>
  <c r="R36" i="9"/>
  <c r="L56" i="9"/>
  <c r="M56" i="9"/>
  <c r="E84" i="9"/>
  <c r="H23" i="9"/>
  <c r="H84" i="9" s="1"/>
  <c r="L30" i="9"/>
  <c r="M27" i="9"/>
  <c r="L29" i="9"/>
  <c r="K12" i="10" l="1" a="1"/>
  <c r="G24" i="10" a="1"/>
  <c r="G25" i="10" s="1"/>
  <c r="R35" i="9"/>
  <c r="Q35" i="9"/>
  <c r="Q37" i="9"/>
  <c r="L31" i="9"/>
  <c r="N61" i="9" s="1"/>
  <c r="L36" i="9"/>
  <c r="L34" i="9"/>
  <c r="K13" i="10" l="1"/>
  <c r="K29" i="10"/>
  <c r="K45" i="10"/>
  <c r="K61" i="10"/>
  <c r="K18" i="10"/>
  <c r="K34" i="10"/>
  <c r="K50" i="10"/>
  <c r="K66" i="10"/>
  <c r="K23" i="10"/>
  <c r="K39" i="10"/>
  <c r="K55" i="10"/>
  <c r="K71" i="10"/>
  <c r="K24" i="10"/>
  <c r="K40" i="10"/>
  <c r="K56" i="10"/>
  <c r="K72" i="10"/>
  <c r="K17" i="10"/>
  <c r="K33" i="10"/>
  <c r="K49" i="10"/>
  <c r="K65" i="10"/>
  <c r="K22" i="10"/>
  <c r="K38" i="10"/>
  <c r="K54" i="10"/>
  <c r="K70" i="10"/>
  <c r="K27" i="10"/>
  <c r="K43" i="10"/>
  <c r="K59" i="10"/>
  <c r="K12" i="10"/>
  <c r="K28" i="10"/>
  <c r="K44" i="10"/>
  <c r="K60" i="10"/>
  <c r="K41" i="10"/>
  <c r="K36" i="10"/>
  <c r="K21" i="10"/>
  <c r="K37" i="10"/>
  <c r="K53" i="10"/>
  <c r="K69" i="10"/>
  <c r="K26" i="10"/>
  <c r="K42" i="10"/>
  <c r="K58" i="10"/>
  <c r="K15" i="10"/>
  <c r="K31" i="10"/>
  <c r="K47" i="10"/>
  <c r="K63" i="10"/>
  <c r="K16" i="10"/>
  <c r="K32" i="10"/>
  <c r="K48" i="10"/>
  <c r="K64" i="10"/>
  <c r="K25" i="10"/>
  <c r="K57" i="10"/>
  <c r="K14" i="10"/>
  <c r="K30" i="10"/>
  <c r="K46" i="10"/>
  <c r="K62" i="10"/>
  <c r="K19" i="10"/>
  <c r="K35" i="10"/>
  <c r="K51" i="10"/>
  <c r="K67" i="10"/>
  <c r="K20" i="10"/>
  <c r="K52" i="10"/>
  <c r="K68" i="10"/>
  <c r="M61" i="9"/>
  <c r="N60" i="9"/>
  <c r="M60" i="9"/>
  <c r="G24" i="10"/>
  <c r="J12" i="10" s="1" a="1"/>
  <c r="L32" i="9"/>
  <c r="L33" i="9"/>
  <c r="J12" i="10" l="1"/>
  <c r="J16" i="10"/>
  <c r="J20" i="10"/>
  <c r="J24" i="10"/>
  <c r="J28" i="10"/>
  <c r="J32" i="10"/>
  <c r="J36" i="10"/>
  <c r="J40" i="10"/>
  <c r="J44" i="10"/>
  <c r="J48" i="10"/>
  <c r="J52" i="10"/>
  <c r="J56" i="10"/>
  <c r="J60" i="10"/>
  <c r="J64" i="10"/>
  <c r="J68" i="10"/>
  <c r="J72" i="10"/>
  <c r="J13" i="10"/>
  <c r="J17" i="10"/>
  <c r="J21" i="10"/>
  <c r="J25" i="10"/>
  <c r="J29" i="10"/>
  <c r="J33" i="10"/>
  <c r="J37" i="10"/>
  <c r="J41" i="10"/>
  <c r="J45" i="10"/>
  <c r="J49" i="10"/>
  <c r="J53" i="10"/>
  <c r="J57" i="10"/>
  <c r="J61" i="10"/>
  <c r="J65" i="10"/>
  <c r="J69" i="10"/>
  <c r="J14" i="10"/>
  <c r="J18" i="10"/>
  <c r="J22" i="10"/>
  <c r="J26" i="10"/>
  <c r="J30" i="10"/>
  <c r="J34" i="10"/>
  <c r="J38" i="10"/>
  <c r="J42" i="10"/>
  <c r="J46" i="10"/>
  <c r="J50" i="10"/>
  <c r="J54" i="10"/>
  <c r="J58" i="10"/>
  <c r="J62" i="10"/>
  <c r="J66" i="10"/>
  <c r="J70" i="10"/>
  <c r="J15" i="10"/>
  <c r="J19" i="10"/>
  <c r="J23" i="10"/>
  <c r="J27" i="10"/>
  <c r="J31" i="10"/>
  <c r="J35" i="10"/>
  <c r="J39" i="10"/>
  <c r="J43" i="10"/>
  <c r="J47" i="10"/>
  <c r="J51" i="10"/>
  <c r="J55" i="10"/>
  <c r="J59" i="10"/>
  <c r="J63" i="10"/>
  <c r="J67" i="10"/>
  <c r="J71" i="10"/>
  <c r="C88" i="12"/>
  <c r="C102" i="12"/>
  <c r="C68" i="12"/>
  <c r="C75" i="12"/>
  <c r="C97" i="12"/>
  <c r="C95" i="12"/>
  <c r="C76" i="12"/>
  <c r="C78" i="12"/>
  <c r="C90" i="12"/>
  <c r="C91" i="12"/>
  <c r="C74" i="12"/>
  <c r="C96" i="12"/>
  <c r="C77" i="12"/>
  <c r="C83" i="12"/>
  <c r="C100" i="12"/>
  <c r="C85" i="12"/>
  <c r="C73" i="12"/>
  <c r="C84" i="12"/>
  <c r="C101" i="12"/>
  <c r="C87" i="12"/>
  <c r="C92" i="12"/>
  <c r="C82" i="12"/>
  <c r="C72" i="12"/>
  <c r="C66" i="12"/>
  <c r="C67" i="12"/>
  <c r="C70" i="12"/>
  <c r="C86" i="12"/>
  <c r="C80" i="12"/>
  <c r="C99" i="12"/>
  <c r="C94" i="12"/>
  <c r="C81" i="12"/>
  <c r="C65" i="12"/>
  <c r="C89" i="12"/>
  <c r="C79" i="12"/>
  <c r="C93" i="12"/>
  <c r="C98" i="12"/>
  <c r="C71" i="12"/>
  <c r="C69" i="12"/>
  <c r="C64" i="12"/>
  <c r="C63" i="12"/>
  <c r="O24" i="12" l="1"/>
  <c r="O23" i="12"/>
  <c r="D24" i="12"/>
  <c r="D28" i="12"/>
  <c r="D32" i="12"/>
  <c r="D36" i="12"/>
  <c r="D40" i="12"/>
  <c r="D44" i="12"/>
  <c r="D48" i="12"/>
  <c r="D52" i="12"/>
  <c r="D56" i="12"/>
  <c r="D60" i="12"/>
  <c r="D64" i="12"/>
  <c r="D68" i="12"/>
  <c r="D72" i="12"/>
  <c r="D76" i="12"/>
  <c r="D80" i="12"/>
  <c r="D84" i="12"/>
  <c r="D88" i="12"/>
  <c r="D92" i="12"/>
  <c r="D96" i="12"/>
  <c r="D100" i="12"/>
  <c r="D104" i="12"/>
  <c r="D108" i="12"/>
  <c r="D112" i="12"/>
  <c r="D116" i="12"/>
  <c r="D120" i="12"/>
  <c r="D124" i="12"/>
  <c r="D128" i="12"/>
  <c r="D132" i="12"/>
  <c r="D136" i="12"/>
  <c r="D140" i="12"/>
  <c r="D26" i="12"/>
  <c r="D34" i="12"/>
  <c r="D38" i="12"/>
  <c r="D46" i="12"/>
  <c r="D54" i="12"/>
  <c r="D62" i="12"/>
  <c r="D70" i="12"/>
  <c r="D78" i="12"/>
  <c r="D86" i="12"/>
  <c r="D98" i="12"/>
  <c r="D106" i="12"/>
  <c r="D114" i="12"/>
  <c r="D122" i="12"/>
  <c r="D126" i="12"/>
  <c r="D134" i="12"/>
  <c r="D142" i="12"/>
  <c r="D31" i="12"/>
  <c r="D39" i="12"/>
  <c r="D47" i="12"/>
  <c r="D55" i="12"/>
  <c r="D63" i="12"/>
  <c r="D71" i="12"/>
  <c r="D79" i="12"/>
  <c r="D87" i="12"/>
  <c r="D95" i="12"/>
  <c r="D103" i="12"/>
  <c r="D111" i="12"/>
  <c r="D119" i="12"/>
  <c r="D127" i="12"/>
  <c r="D135" i="12"/>
  <c r="D143" i="12"/>
  <c r="D25" i="12"/>
  <c r="D29" i="12"/>
  <c r="D33" i="12"/>
  <c r="D37" i="12"/>
  <c r="D41" i="12"/>
  <c r="D45" i="12"/>
  <c r="D49" i="12"/>
  <c r="D53" i="12"/>
  <c r="D57" i="12"/>
  <c r="D61" i="12"/>
  <c r="D65" i="12"/>
  <c r="D69" i="12"/>
  <c r="D73" i="12"/>
  <c r="D77" i="12"/>
  <c r="D81" i="12"/>
  <c r="D85" i="12"/>
  <c r="D89" i="12"/>
  <c r="D93" i="12"/>
  <c r="D97" i="12"/>
  <c r="D101" i="12"/>
  <c r="D105" i="12"/>
  <c r="D109" i="12"/>
  <c r="D113" i="12"/>
  <c r="D117" i="12"/>
  <c r="D121" i="12"/>
  <c r="D125" i="12"/>
  <c r="D129" i="12"/>
  <c r="D133" i="12"/>
  <c r="D137" i="12"/>
  <c r="D141" i="12"/>
  <c r="D30" i="12"/>
  <c r="D42" i="12"/>
  <c r="D50" i="12"/>
  <c r="D58" i="12"/>
  <c r="D66" i="12"/>
  <c r="D74" i="12"/>
  <c r="D82" i="12"/>
  <c r="D90" i="12"/>
  <c r="D94" i="12"/>
  <c r="D102" i="12"/>
  <c r="D110" i="12"/>
  <c r="D118" i="12"/>
  <c r="D130" i="12"/>
  <c r="D138" i="12"/>
  <c r="D27" i="12"/>
  <c r="D35" i="12"/>
  <c r="D43" i="12"/>
  <c r="D51" i="12"/>
  <c r="D59" i="12"/>
  <c r="D67" i="12"/>
  <c r="D75" i="12"/>
  <c r="D83" i="12"/>
  <c r="D91" i="12"/>
  <c r="D99" i="12"/>
  <c r="D107" i="12"/>
  <c r="D115" i="12"/>
  <c r="D123" i="12"/>
  <c r="D131" i="12"/>
  <c r="D139" i="12"/>
  <c r="D23" i="12"/>
  <c r="E12" i="12"/>
  <c r="E13" i="12" s="1"/>
  <c r="F12" i="12" l="1"/>
  <c r="E16" i="12"/>
  <c r="E8" i="12"/>
  <c r="E9" i="12" s="1"/>
  <c r="E15" i="12"/>
  <c r="H25" i="12" l="1"/>
  <c r="H29" i="12"/>
  <c r="H33" i="12"/>
  <c r="H37" i="12"/>
  <c r="H41" i="12"/>
  <c r="H45" i="12"/>
  <c r="H49" i="12"/>
  <c r="H53" i="12"/>
  <c r="H57" i="12"/>
  <c r="H61" i="12"/>
  <c r="H65" i="12"/>
  <c r="H69" i="12"/>
  <c r="H73" i="12"/>
  <c r="H77" i="12"/>
  <c r="H81" i="12"/>
  <c r="H85" i="12"/>
  <c r="H89" i="12"/>
  <c r="H93" i="12"/>
  <c r="H97" i="12"/>
  <c r="H101" i="12"/>
  <c r="H105" i="12"/>
  <c r="H109" i="12"/>
  <c r="H113" i="12"/>
  <c r="H117" i="12"/>
  <c r="H121" i="12"/>
  <c r="H125" i="12"/>
  <c r="H129" i="12"/>
  <c r="H133" i="12"/>
  <c r="H137" i="12"/>
  <c r="H141" i="12"/>
  <c r="H26" i="12"/>
  <c r="H30" i="12"/>
  <c r="H34" i="12"/>
  <c r="H38" i="12"/>
  <c r="H42" i="12"/>
  <c r="H46" i="12"/>
  <c r="H50" i="12"/>
  <c r="H54" i="12"/>
  <c r="H58" i="12"/>
  <c r="H62" i="12"/>
  <c r="H66" i="12"/>
  <c r="H70" i="12"/>
  <c r="H74" i="12"/>
  <c r="H78" i="12"/>
  <c r="H82" i="12"/>
  <c r="H86" i="12"/>
  <c r="H90" i="12"/>
  <c r="H94" i="12"/>
  <c r="H98" i="12"/>
  <c r="H102" i="12"/>
  <c r="H106" i="12"/>
  <c r="H110" i="12"/>
  <c r="H114" i="12"/>
  <c r="H118" i="12"/>
  <c r="H122" i="12"/>
  <c r="H126" i="12"/>
  <c r="H130" i="12"/>
  <c r="H134" i="12"/>
  <c r="H138" i="12"/>
  <c r="H142" i="12"/>
  <c r="H27" i="12"/>
  <c r="H31" i="12"/>
  <c r="H35" i="12"/>
  <c r="H39" i="12"/>
  <c r="H43" i="12"/>
  <c r="H47" i="12"/>
  <c r="H51" i="12"/>
  <c r="H55" i="12"/>
  <c r="H59" i="12"/>
  <c r="H63" i="12"/>
  <c r="H67" i="12"/>
  <c r="H71" i="12"/>
  <c r="H75" i="12"/>
  <c r="H79" i="12"/>
  <c r="H83" i="12"/>
  <c r="H87" i="12"/>
  <c r="H91" i="12"/>
  <c r="H95" i="12"/>
  <c r="H99" i="12"/>
  <c r="H103" i="12"/>
  <c r="H107" i="12"/>
  <c r="H111" i="12"/>
  <c r="H115" i="12"/>
  <c r="H119" i="12"/>
  <c r="H123" i="12"/>
  <c r="H24" i="12"/>
  <c r="H40" i="12"/>
  <c r="H56" i="12"/>
  <c r="H72" i="12"/>
  <c r="H88" i="12"/>
  <c r="H131" i="12"/>
  <c r="H28" i="12"/>
  <c r="H44" i="12"/>
  <c r="H60" i="12"/>
  <c r="H76" i="12"/>
  <c r="H92" i="12"/>
  <c r="H108" i="12"/>
  <c r="H124" i="12"/>
  <c r="H132" i="12"/>
  <c r="H140" i="12"/>
  <c r="H32" i="12"/>
  <c r="H48" i="12"/>
  <c r="H64" i="12"/>
  <c r="H80" i="12"/>
  <c r="H96" i="12"/>
  <c r="H112" i="12"/>
  <c r="H127" i="12"/>
  <c r="H135" i="12"/>
  <c r="H143" i="12"/>
  <c r="H36" i="12"/>
  <c r="H52" i="12"/>
  <c r="H68" i="12"/>
  <c r="H84" i="12"/>
  <c r="H100" i="12"/>
  <c r="H116" i="12"/>
  <c r="H128" i="12"/>
  <c r="H136" i="12"/>
  <c r="H104" i="12"/>
  <c r="H120" i="12"/>
  <c r="H139" i="12"/>
  <c r="H23" i="12"/>
  <c r="E32" i="12"/>
  <c r="E85" i="12"/>
  <c r="E140" i="12"/>
  <c r="E80" i="12"/>
  <c r="E81" i="12"/>
  <c r="E115" i="12"/>
  <c r="E89" i="12"/>
  <c r="E64" i="12"/>
  <c r="E34" i="12"/>
  <c r="E124" i="12"/>
  <c r="E117" i="12"/>
  <c r="E87" i="12"/>
  <c r="E99" i="12"/>
  <c r="E90" i="12"/>
  <c r="E108" i="12"/>
  <c r="E100" i="12"/>
  <c r="E28" i="12"/>
  <c r="E78" i="12"/>
  <c r="E82" i="12"/>
  <c r="E142" i="12"/>
  <c r="E128" i="12"/>
  <c r="E94" i="12"/>
  <c r="E50" i="12"/>
  <c r="E26" i="12"/>
  <c r="E55" i="12"/>
  <c r="E31" i="12"/>
  <c r="E71" i="12"/>
  <c r="E42" i="12"/>
  <c r="E135" i="12"/>
  <c r="E53" i="12"/>
  <c r="E63" i="12"/>
  <c r="E36" i="12"/>
  <c r="E88" i="12"/>
  <c r="E73" i="12"/>
  <c r="E119" i="12"/>
  <c r="E84" i="12"/>
  <c r="E138" i="12"/>
  <c r="E127" i="12"/>
  <c r="E67" i="12"/>
  <c r="E70" i="12"/>
  <c r="E76" i="12"/>
  <c r="E103" i="12"/>
  <c r="E49" i="12"/>
  <c r="E29" i="12"/>
  <c r="E92" i="12"/>
  <c r="E48" i="12"/>
  <c r="E132" i="12"/>
  <c r="E68" i="12"/>
  <c r="E74" i="12"/>
  <c r="E69" i="12"/>
  <c r="E133" i="12"/>
  <c r="E45" i="12"/>
  <c r="E57" i="12"/>
  <c r="E129" i="12"/>
  <c r="E52" i="12"/>
  <c r="E110" i="12"/>
  <c r="E96" i="12"/>
  <c r="E123" i="12"/>
  <c r="E35" i="12"/>
  <c r="E39" i="12"/>
  <c r="E41" i="12"/>
  <c r="E125" i="12"/>
  <c r="E65" i="12"/>
  <c r="E97" i="12"/>
  <c r="E105" i="12"/>
  <c r="E75" i="12"/>
  <c r="E141" i="12"/>
  <c r="E130" i="12"/>
  <c r="E51" i="12"/>
  <c r="E109" i="12"/>
  <c r="E72" i="12"/>
  <c r="E114" i="12"/>
  <c r="E112" i="12"/>
  <c r="E107" i="12"/>
  <c r="E116" i="12"/>
  <c r="E59" i="12"/>
  <c r="E66" i="12"/>
  <c r="E62" i="12"/>
  <c r="E77" i="12"/>
  <c r="E43" i="12"/>
  <c r="E38" i="12"/>
  <c r="E93" i="12"/>
  <c r="E27" i="12"/>
  <c r="E37" i="12"/>
  <c r="E139" i="12"/>
  <c r="E30" i="12"/>
  <c r="E40" i="12"/>
  <c r="E143" i="12"/>
  <c r="E86" i="12"/>
  <c r="E58" i="12"/>
  <c r="E137" i="12"/>
  <c r="E24" i="12"/>
  <c r="E118" i="12"/>
  <c r="E120" i="12"/>
  <c r="E104" i="12"/>
  <c r="E136" i="12"/>
  <c r="E111" i="12"/>
  <c r="E60" i="12"/>
  <c r="E121" i="12"/>
  <c r="E83" i="12"/>
  <c r="E47" i="12"/>
  <c r="E79" i="12"/>
  <c r="E61" i="12"/>
  <c r="E134" i="12"/>
  <c r="E113" i="12"/>
  <c r="E101" i="12"/>
  <c r="E44" i="12"/>
  <c r="E54" i="12"/>
  <c r="E126" i="12"/>
  <c r="E33" i="12"/>
  <c r="E56" i="12"/>
  <c r="E91" i="12"/>
  <c r="E23" i="12"/>
  <c r="E106" i="12"/>
  <c r="E102" i="12"/>
  <c r="E122" i="12"/>
  <c r="E98" i="12"/>
  <c r="E131" i="12"/>
  <c r="E25" i="12"/>
  <c r="E95" i="12"/>
  <c r="E46" i="12"/>
  <c r="F25" i="12" l="1"/>
  <c r="G25" i="12"/>
  <c r="F44" i="12"/>
  <c r="G44" i="12"/>
  <c r="F121" i="12"/>
  <c r="G121" i="12"/>
  <c r="G137" i="12"/>
  <c r="F137" i="12"/>
  <c r="G77" i="12"/>
  <c r="F77" i="12"/>
  <c r="F72" i="12"/>
  <c r="G72" i="12"/>
  <c r="F65" i="12"/>
  <c r="G65" i="12"/>
  <c r="F52" i="12"/>
  <c r="G52" i="12"/>
  <c r="G132" i="12"/>
  <c r="F132" i="12"/>
  <c r="G67" i="12"/>
  <c r="F67" i="12"/>
  <c r="F119" i="12"/>
  <c r="G119" i="12"/>
  <c r="F63" i="12"/>
  <c r="G63" i="12"/>
  <c r="G71" i="12"/>
  <c r="F71" i="12"/>
  <c r="G50" i="12"/>
  <c r="F50" i="12"/>
  <c r="G82" i="12"/>
  <c r="F82" i="12"/>
  <c r="F108" i="12"/>
  <c r="G108" i="12"/>
  <c r="F117" i="12"/>
  <c r="G117" i="12"/>
  <c r="G89" i="12"/>
  <c r="F89" i="12"/>
  <c r="G140" i="12"/>
  <c r="F140" i="12"/>
  <c r="J34" i="12"/>
  <c r="I34" i="12"/>
  <c r="I47" i="12"/>
  <c r="J47" i="12"/>
  <c r="J50" i="12"/>
  <c r="I50" i="12"/>
  <c r="I101" i="12"/>
  <c r="J101" i="12"/>
  <c r="I49" i="12"/>
  <c r="J49" i="12"/>
  <c r="I80" i="12"/>
  <c r="J80" i="12"/>
  <c r="I104" i="12"/>
  <c r="J104" i="12"/>
  <c r="J76" i="12"/>
  <c r="I76" i="12"/>
  <c r="I31" i="12"/>
  <c r="J31" i="12"/>
  <c r="J45" i="12"/>
  <c r="I45" i="12"/>
  <c r="J32" i="12"/>
  <c r="I32" i="12"/>
  <c r="I109" i="12"/>
  <c r="J109" i="12"/>
  <c r="I110" i="12"/>
  <c r="J110" i="12"/>
  <c r="J41" i="12"/>
  <c r="I41" i="12"/>
  <c r="J107" i="12"/>
  <c r="I107" i="12"/>
  <c r="I121" i="12"/>
  <c r="J121" i="12"/>
  <c r="I42" i="12"/>
  <c r="J42" i="12"/>
  <c r="J137" i="12"/>
  <c r="I137" i="12"/>
  <c r="J86" i="12"/>
  <c r="I86" i="12"/>
  <c r="J112" i="12"/>
  <c r="I112" i="12"/>
  <c r="I26" i="12"/>
  <c r="J26" i="12"/>
  <c r="I139" i="12"/>
  <c r="J139" i="12"/>
  <c r="I75" i="12"/>
  <c r="J75" i="12"/>
  <c r="I69" i="12"/>
  <c r="J69" i="12"/>
  <c r="J35" i="12"/>
  <c r="I35" i="12"/>
  <c r="J89" i="12"/>
  <c r="I89" i="12"/>
  <c r="J29" i="12"/>
  <c r="I29" i="12"/>
  <c r="I27" i="12"/>
  <c r="J27" i="12"/>
  <c r="J118" i="12"/>
  <c r="I118" i="12"/>
  <c r="I37" i="12"/>
  <c r="J37" i="12"/>
  <c r="G131" i="12"/>
  <c r="F131" i="12"/>
  <c r="F106" i="12"/>
  <c r="G106" i="12"/>
  <c r="F33" i="12"/>
  <c r="G33" i="12"/>
  <c r="G101" i="12"/>
  <c r="F101" i="12"/>
  <c r="G79" i="12"/>
  <c r="F79" i="12"/>
  <c r="F60" i="12"/>
  <c r="G60" i="12"/>
  <c r="G120" i="12"/>
  <c r="F120" i="12"/>
  <c r="G58" i="12"/>
  <c r="F58" i="12"/>
  <c r="F30" i="12"/>
  <c r="G30" i="12"/>
  <c r="F93" i="12"/>
  <c r="G93" i="12"/>
  <c r="F62" i="12"/>
  <c r="G62" i="12"/>
  <c r="G107" i="12"/>
  <c r="F107" i="12"/>
  <c r="G109" i="12"/>
  <c r="F109" i="12"/>
  <c r="G75" i="12"/>
  <c r="F75" i="12"/>
  <c r="G125" i="12"/>
  <c r="F125" i="12"/>
  <c r="G123" i="12"/>
  <c r="F123" i="12"/>
  <c r="F129" i="12"/>
  <c r="G129" i="12"/>
  <c r="F69" i="12"/>
  <c r="G69" i="12"/>
  <c r="F48" i="12"/>
  <c r="G48" i="12"/>
  <c r="G103" i="12"/>
  <c r="F103" i="12"/>
  <c r="G127" i="12"/>
  <c r="F127" i="12"/>
  <c r="G73" i="12"/>
  <c r="F73" i="12"/>
  <c r="G53" i="12"/>
  <c r="F53" i="12"/>
  <c r="G31" i="12"/>
  <c r="F31" i="12"/>
  <c r="F94" i="12"/>
  <c r="G94" i="12"/>
  <c r="F78" i="12"/>
  <c r="G78" i="12"/>
  <c r="F90" i="12"/>
  <c r="G90" i="12"/>
  <c r="G124" i="12"/>
  <c r="F124" i="12"/>
  <c r="F115" i="12"/>
  <c r="G115" i="12"/>
  <c r="G85" i="12"/>
  <c r="F85" i="12"/>
  <c r="I97" i="12"/>
  <c r="J97" i="12"/>
  <c r="I74" i="12"/>
  <c r="J74" i="12"/>
  <c r="J130" i="12"/>
  <c r="I130" i="12"/>
  <c r="J63" i="12"/>
  <c r="I63" i="12"/>
  <c r="I92" i="12"/>
  <c r="J92" i="12"/>
  <c r="I79" i="12"/>
  <c r="J79" i="12"/>
  <c r="J56" i="12"/>
  <c r="I56" i="12"/>
  <c r="J81" i="12"/>
  <c r="I81" i="12"/>
  <c r="J132" i="12"/>
  <c r="I132" i="12"/>
  <c r="J52" i="12"/>
  <c r="I52" i="12"/>
  <c r="J68" i="12"/>
  <c r="I68" i="12"/>
  <c r="I67" i="12"/>
  <c r="J67" i="12"/>
  <c r="I136" i="12"/>
  <c r="J136" i="12"/>
  <c r="I28" i="12"/>
  <c r="J28" i="12"/>
  <c r="J120" i="12"/>
  <c r="I120" i="12"/>
  <c r="J103" i="12"/>
  <c r="I103" i="12"/>
  <c r="I102" i="12"/>
  <c r="J102" i="12"/>
  <c r="I24" i="12"/>
  <c r="J24" i="12"/>
  <c r="J140" i="12"/>
  <c r="I140" i="12"/>
  <c r="I113" i="12"/>
  <c r="J113" i="12"/>
  <c r="I43" i="12"/>
  <c r="J43" i="12"/>
  <c r="I99" i="12"/>
  <c r="J99" i="12"/>
  <c r="J54" i="12"/>
  <c r="I54" i="12"/>
  <c r="I72" i="12"/>
  <c r="J72" i="12"/>
  <c r="J23" i="12"/>
  <c r="I23" i="12"/>
  <c r="I106" i="12"/>
  <c r="J106" i="12"/>
  <c r="I122" i="12"/>
  <c r="J122" i="12"/>
  <c r="I44" i="12"/>
  <c r="J44" i="12"/>
  <c r="J38" i="12"/>
  <c r="I38" i="12"/>
  <c r="I46" i="12"/>
  <c r="J46" i="12"/>
  <c r="G102" i="12"/>
  <c r="F102" i="12"/>
  <c r="F56" i="12"/>
  <c r="G56" i="12"/>
  <c r="F61" i="12"/>
  <c r="G61" i="12"/>
  <c r="G104" i="12"/>
  <c r="F104" i="12"/>
  <c r="G40" i="12"/>
  <c r="F40" i="12"/>
  <c r="G27" i="12"/>
  <c r="F27" i="12"/>
  <c r="G116" i="12"/>
  <c r="F116" i="12"/>
  <c r="G141" i="12"/>
  <c r="F141" i="12"/>
  <c r="F35" i="12"/>
  <c r="G35" i="12"/>
  <c r="F133" i="12"/>
  <c r="G133" i="12"/>
  <c r="F49" i="12"/>
  <c r="G49" i="12"/>
  <c r="F46" i="12"/>
  <c r="G46" i="12"/>
  <c r="F98" i="12"/>
  <c r="G98" i="12"/>
  <c r="F23" i="12"/>
  <c r="G23" i="12"/>
  <c r="G126" i="12"/>
  <c r="F126" i="12"/>
  <c r="F113" i="12"/>
  <c r="G113" i="12"/>
  <c r="G47" i="12"/>
  <c r="F47" i="12"/>
  <c r="F111" i="12"/>
  <c r="G111" i="12"/>
  <c r="F118" i="12"/>
  <c r="G118" i="12"/>
  <c r="G86" i="12"/>
  <c r="F86" i="12"/>
  <c r="G139" i="12"/>
  <c r="F139" i="12"/>
  <c r="F38" i="12"/>
  <c r="G38" i="12"/>
  <c r="G66" i="12"/>
  <c r="F66" i="12"/>
  <c r="G112" i="12"/>
  <c r="F112" i="12"/>
  <c r="G51" i="12"/>
  <c r="F51" i="12"/>
  <c r="F105" i="12"/>
  <c r="G105" i="12"/>
  <c r="F41" i="12"/>
  <c r="G41" i="12"/>
  <c r="F96" i="12"/>
  <c r="G96" i="12"/>
  <c r="F57" i="12"/>
  <c r="G57" i="12"/>
  <c r="G74" i="12"/>
  <c r="F74" i="12"/>
  <c r="G92" i="12"/>
  <c r="F92" i="12"/>
  <c r="G76" i="12"/>
  <c r="F76" i="12"/>
  <c r="G138" i="12"/>
  <c r="F138" i="12"/>
  <c r="F88" i="12"/>
  <c r="G88" i="12"/>
  <c r="F135" i="12"/>
  <c r="G135" i="12"/>
  <c r="F55" i="12"/>
  <c r="G55" i="12"/>
  <c r="G128" i="12"/>
  <c r="F128" i="12"/>
  <c r="G28" i="12"/>
  <c r="F28" i="12"/>
  <c r="F99" i="12"/>
  <c r="G99" i="12"/>
  <c r="G34" i="12"/>
  <c r="F34" i="12"/>
  <c r="G81" i="12"/>
  <c r="F81" i="12"/>
  <c r="F32" i="12"/>
  <c r="G32" i="12"/>
  <c r="I40" i="12"/>
  <c r="J40" i="12"/>
  <c r="J73" i="12"/>
  <c r="I73" i="12"/>
  <c r="I66" i="12"/>
  <c r="J66" i="12"/>
  <c r="I70" i="12"/>
  <c r="J70" i="12"/>
  <c r="J123" i="12"/>
  <c r="I123" i="12"/>
  <c r="I119" i="12"/>
  <c r="J119" i="12"/>
  <c r="J88" i="12"/>
  <c r="I88" i="12"/>
  <c r="I77" i="12"/>
  <c r="J77" i="12"/>
  <c r="I126" i="12"/>
  <c r="J126" i="12"/>
  <c r="I111" i="12"/>
  <c r="J111" i="12"/>
  <c r="J98" i="12"/>
  <c r="I98" i="12"/>
  <c r="J143" i="12"/>
  <c r="I143" i="12"/>
  <c r="I100" i="12"/>
  <c r="J100" i="12"/>
  <c r="J85" i="12"/>
  <c r="I85" i="12"/>
  <c r="I48" i="12"/>
  <c r="J48" i="12"/>
  <c r="I87" i="12"/>
  <c r="J87" i="12"/>
  <c r="I138" i="12"/>
  <c r="J138" i="12"/>
  <c r="I142" i="12"/>
  <c r="J142" i="12"/>
  <c r="J125" i="12"/>
  <c r="I125" i="12"/>
  <c r="I25" i="12"/>
  <c r="J25" i="12"/>
  <c r="I133" i="12"/>
  <c r="J133" i="12"/>
  <c r="J36" i="12"/>
  <c r="I36" i="12"/>
  <c r="I135" i="12"/>
  <c r="J135" i="12"/>
  <c r="J114" i="12"/>
  <c r="I114" i="12"/>
  <c r="I124" i="12"/>
  <c r="J124" i="12"/>
  <c r="J94" i="12"/>
  <c r="I94" i="12"/>
  <c r="I95" i="12"/>
  <c r="J95" i="12"/>
  <c r="I64" i="12"/>
  <c r="J64" i="12"/>
  <c r="I62" i="12"/>
  <c r="J62" i="12"/>
  <c r="I78" i="12"/>
  <c r="J78" i="12"/>
  <c r="F95" i="12"/>
  <c r="G95" i="12"/>
  <c r="G122" i="12"/>
  <c r="F122" i="12"/>
  <c r="F91" i="12"/>
  <c r="G91" i="12"/>
  <c r="F54" i="12"/>
  <c r="G54" i="12"/>
  <c r="G134" i="12"/>
  <c r="F134" i="12"/>
  <c r="F83" i="12"/>
  <c r="G83" i="12"/>
  <c r="G136" i="12"/>
  <c r="F136" i="12"/>
  <c r="G24" i="12"/>
  <c r="F24" i="12"/>
  <c r="G143" i="12"/>
  <c r="F143" i="12"/>
  <c r="F37" i="12"/>
  <c r="G37" i="12"/>
  <c r="F43" i="12"/>
  <c r="G43" i="12"/>
  <c r="F59" i="12"/>
  <c r="G59" i="12"/>
  <c r="F114" i="12"/>
  <c r="G114" i="12"/>
  <c r="G130" i="12"/>
  <c r="F130" i="12"/>
  <c r="G97" i="12"/>
  <c r="F97" i="12"/>
  <c r="F39" i="12"/>
  <c r="G39" i="12"/>
  <c r="F110" i="12"/>
  <c r="G110" i="12"/>
  <c r="G45" i="12"/>
  <c r="F45" i="12"/>
  <c r="G68" i="12"/>
  <c r="F68" i="12"/>
  <c r="G29" i="12"/>
  <c r="F29" i="12"/>
  <c r="G70" i="12"/>
  <c r="F70" i="12"/>
  <c r="G84" i="12"/>
  <c r="F84" i="12"/>
  <c r="G36" i="12"/>
  <c r="F36" i="12"/>
  <c r="G42" i="12"/>
  <c r="F42" i="12"/>
  <c r="G26" i="12"/>
  <c r="F26" i="12"/>
  <c r="F142" i="12"/>
  <c r="G142" i="12"/>
  <c r="G100" i="12"/>
  <c r="F100" i="12"/>
  <c r="G87" i="12"/>
  <c r="F87" i="12"/>
  <c r="F64" i="12"/>
  <c r="G64" i="12"/>
  <c r="G80" i="12"/>
  <c r="F80" i="12"/>
  <c r="I84" i="12"/>
  <c r="J84" i="12"/>
  <c r="J83" i="12"/>
  <c r="I83" i="12"/>
  <c r="I90" i="12"/>
  <c r="J90" i="12"/>
  <c r="J55" i="12"/>
  <c r="I55" i="12"/>
  <c r="J59" i="12"/>
  <c r="I59" i="12"/>
  <c r="J57" i="12"/>
  <c r="I57" i="12"/>
  <c r="I127" i="12"/>
  <c r="J127" i="12"/>
  <c r="J33" i="12"/>
  <c r="I33" i="12"/>
  <c r="J131" i="12"/>
  <c r="I131" i="12"/>
  <c r="J71" i="12"/>
  <c r="I71" i="12"/>
  <c r="J134" i="12"/>
  <c r="I134" i="12"/>
  <c r="I96" i="12"/>
  <c r="J96" i="12"/>
  <c r="I93" i="12"/>
  <c r="J93" i="12"/>
  <c r="I58" i="12"/>
  <c r="J58" i="12"/>
  <c r="I91" i="12"/>
  <c r="J91" i="12"/>
  <c r="I128" i="12"/>
  <c r="J128" i="12"/>
  <c r="J39" i="12"/>
  <c r="I39" i="12"/>
  <c r="I65" i="12"/>
  <c r="J65" i="12"/>
  <c r="J60" i="12"/>
  <c r="I60" i="12"/>
  <c r="J115" i="12"/>
  <c r="I115" i="12"/>
  <c r="J51" i="12"/>
  <c r="I51" i="12"/>
  <c r="I105" i="12"/>
  <c r="J105" i="12"/>
  <c r="J53" i="12"/>
  <c r="I53" i="12"/>
  <c r="I108" i="12"/>
  <c r="J108" i="12"/>
  <c r="I61" i="12"/>
  <c r="J61" i="12"/>
  <c r="I82" i="12"/>
  <c r="J82" i="12"/>
  <c r="J129" i="12"/>
  <c r="I129" i="12"/>
  <c r="I116" i="12"/>
  <c r="J116" i="12"/>
  <c r="J30" i="12"/>
  <c r="I30" i="12"/>
  <c r="I117" i="12"/>
  <c r="J117" i="12"/>
  <c r="I141" i="12"/>
  <c r="J141" i="12"/>
</calcChain>
</file>

<file path=xl/sharedStrings.xml><?xml version="1.0" encoding="utf-8"?>
<sst xmlns="http://schemas.openxmlformats.org/spreadsheetml/2006/main" count="305" uniqueCount="177">
  <si>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</si>
  <si>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</si>
  <si>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</si>
  <si>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</si>
  <si>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</si>
  <si>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b</t>
  </si>
  <si>
    <t>Xнач</t>
  </si>
  <si>
    <t>Хшаг</t>
  </si>
  <si>
    <t>Хкон</t>
  </si>
  <si>
    <t>Х</t>
  </si>
  <si>
    <t>Хкол-во точек</t>
  </si>
  <si>
    <t>Y норм.разбр.</t>
  </si>
  <si>
    <t>Для пост. разброса</t>
  </si>
  <si>
    <t>от среднего Y</t>
  </si>
  <si>
    <t>Параметры</t>
  </si>
  <si>
    <t>Корреляция</t>
  </si>
  <si>
    <r>
      <t>R</t>
    </r>
    <r>
      <rPr>
        <b/>
        <vertAlign val="superscript"/>
        <sz val="10"/>
        <rFont val="Calibri"/>
        <family val="2"/>
        <charset val="204"/>
        <scheme val="minor"/>
      </rPr>
      <t>2</t>
    </r>
  </si>
  <si>
    <t>Y тренд</t>
  </si>
  <si>
    <t>Наклон (а, коэфф.регрессии)</t>
  </si>
  <si>
    <t>Сдвиг(b, пост.член, константа регрессии)</t>
  </si>
  <si>
    <t>Х (температура)</t>
  </si>
  <si>
    <t>Y (прочность)</t>
  </si>
  <si>
    <t>Y линия регрессии</t>
  </si>
  <si>
    <t>На линии тренда некорректно вычисляются коэфф. a и b (при Хшаг&lt;&gt;1 и Хнач&lt;&gt;1)</t>
  </si>
  <si>
    <t>Y линия тренда</t>
  </si>
  <si>
    <t>Для диаграммы</t>
  </si>
  <si>
    <t>Y</t>
  </si>
  <si>
    <t>№</t>
  </si>
  <si>
    <t>a</t>
  </si>
  <si>
    <t>X'X</t>
  </si>
  <si>
    <r>
      <t>(X'X)</t>
    </r>
    <r>
      <rPr>
        <b/>
        <vertAlign val="superscript"/>
        <sz val="11"/>
        <color theme="1"/>
        <rFont val="Calibri"/>
        <family val="2"/>
        <charset val="204"/>
        <scheme val="minor"/>
      </rPr>
      <t>-1</t>
    </r>
  </si>
  <si>
    <t>X'Y</t>
  </si>
  <si>
    <r>
      <t>(X'X)</t>
    </r>
    <r>
      <rPr>
        <b/>
        <vertAlign val="superscript"/>
        <sz val="11"/>
        <color theme="1"/>
        <rFont val="Calibri"/>
        <family val="2"/>
        <charset val="204"/>
        <scheme val="minor"/>
      </rPr>
      <t>-1</t>
    </r>
    <r>
      <rPr>
        <b/>
        <sz val="11"/>
        <color theme="1"/>
        <rFont val="Calibri"/>
        <family val="2"/>
        <charset val="204"/>
        <scheme val="minor"/>
      </rPr>
      <t>(X'Y)</t>
    </r>
  </si>
  <si>
    <t>Одной формулой массива</t>
  </si>
  <si>
    <t>Остатки</t>
  </si>
  <si>
    <t xml:space="preserve">{m;b:se;seb:r2;sey:F;df:ssreg;ssresid}; </t>
  </si>
  <si>
    <t>SST</t>
  </si>
  <si>
    <t>Yсреднее</t>
  </si>
  <si>
    <t>n</t>
  </si>
  <si>
    <t>Функция Тенденция</t>
  </si>
  <si>
    <t>Верхняя линия</t>
  </si>
  <si>
    <t>Нижняя линия</t>
  </si>
  <si>
    <t>X</t>
  </si>
  <si>
    <t>k</t>
  </si>
  <si>
    <t>m</t>
  </si>
  <si>
    <t>se (наклон)</t>
  </si>
  <si>
    <t>SSR (ssreg)</t>
  </si>
  <si>
    <t>SSE (ssresid)</t>
  </si>
  <si>
    <t>Хсреднее</t>
  </si>
  <si>
    <t>seb (сдвиг)</t>
  </si>
  <si>
    <t>F (знач.тест.стат.)</t>
  </si>
  <si>
    <t>Аргументы функции ЛИНЕЙН()</t>
  </si>
  <si>
    <t>sey (ст.ош.регр)</t>
  </si>
  <si>
    <t>DF</t>
  </si>
  <si>
    <t>альфа</t>
  </si>
  <si>
    <t>SE</t>
  </si>
  <si>
    <t>t0</t>
  </si>
  <si>
    <t>tальфа,DF</t>
  </si>
  <si>
    <t>Отклонить Н0?</t>
  </si>
  <si>
    <t>|tr|</t>
  </si>
  <si>
    <t>Границы предсказания</t>
  </si>
  <si>
    <t>Доверительный интервал для нового наблюдения Y и среднего значения</t>
  </si>
  <si>
    <t>SEy (ст.ош.регр)</t>
  </si>
  <si>
    <r>
      <t>R</t>
    </r>
    <r>
      <rPr>
        <vertAlign val="superscript"/>
        <sz val="10"/>
        <rFont val="Calibri"/>
        <family val="2"/>
        <charset val="204"/>
        <scheme val="minor"/>
      </rPr>
      <t>2</t>
    </r>
  </si>
  <si>
    <t>Доверительные интервалы для нового наблюдения Y и среднего значения</t>
  </si>
  <si>
    <t>Se (ст.ош. наклона)</t>
  </si>
  <si>
    <t>i</t>
  </si>
  <si>
    <t>Ст. ош. Среднего значения Y</t>
  </si>
  <si>
    <t>Ст. ош. нового наблюдения Y: S(Y|Xi)</t>
  </si>
  <si>
    <t>Х(i)</t>
  </si>
  <si>
    <t>Y(i)</t>
  </si>
  <si>
    <t>Доверительный интервал для нового наблюдения Y|Xi (+)</t>
  </si>
  <si>
    <t>Доверительный интервал для нового наблюдения Y|Xi (-)</t>
  </si>
  <si>
    <t>Доверительный интервал для Yср (+)</t>
  </si>
  <si>
    <t>Доверительный интервал для Yср (-)</t>
  </si>
  <si>
    <t>Доверит. интервал для нового наблюдения Y|Xi</t>
  </si>
  <si>
    <t>Доверит. интервал для Yср|Xi</t>
  </si>
  <si>
    <t>Проверка через наклон а (Двусторонняя гипотеза)</t>
  </si>
  <si>
    <t>F0</t>
  </si>
  <si>
    <t>Fальфа,1,DF</t>
  </si>
  <si>
    <t>Проверка через F-тест (дисперсионный анализ (ANOVA))</t>
  </si>
  <si>
    <t>Проверка значимости взаимосвязи (3 эквивалентных подхода)</t>
  </si>
  <si>
    <t>x</t>
  </si>
  <si>
    <t>через p-значение</t>
  </si>
  <si>
    <t>Альтернативные формулы</t>
  </si>
  <si>
    <r>
      <t xml:space="preserve">Линия регрессии </t>
    </r>
    <r>
      <rPr>
        <b/>
        <sz val="10"/>
        <rFont val="Calibri"/>
        <family val="2"/>
        <charset val="204"/>
      </rPr>
      <t>ŷ(i)</t>
    </r>
  </si>
  <si>
    <t>Х(1) и Х(n)</t>
  </si>
  <si>
    <t>Проверка адекватности линейной регрессионной модели</t>
  </si>
  <si>
    <t xml:space="preserve">Остатки ei=yi – ŷi </t>
  </si>
  <si>
    <t>y(i)</t>
  </si>
  <si>
    <t>Среднее значение остатков</t>
  </si>
  <si>
    <t>MSE - оценка дисперсии ошибок</t>
  </si>
  <si>
    <t>SEy - стандартная ошибка</t>
  </si>
  <si>
    <t>Остатки (сортированный список)</t>
  </si>
  <si>
    <t xml:space="preserve">График проверки остатков на нормальность 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</si>
  <si>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</si>
  <si>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</si>
  <si>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</si>
  <si>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</si>
  <si>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</si>
  <si>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</si>
  <si>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</si>
  <si>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</si>
  <si>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</si>
  <si>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</si>
  <si>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</si>
  <si>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</si>
  <si>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</si>
  <si>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</si>
  <si>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</si>
  <si>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F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</si>
  <si>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</si>
  <si>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</si>
  <si>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</si>
  <si>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</si>
  <si>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</si>
  <si>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</si>
  <si>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Переменная X 1</t>
  </si>
  <si>
    <t>ВЫВОД ОСТАТКА</t>
  </si>
  <si>
    <t>Наблюдение</t>
  </si>
  <si>
    <t>Предсказанное Y</t>
  </si>
  <si>
    <t>Стандартные остатки</t>
  </si>
  <si>
    <t>ВЫВОД ВЕРОЯТНОСТИ</t>
  </si>
  <si>
    <t>Персентиль</t>
  </si>
  <si>
    <t>Нижние 90,0%</t>
  </si>
  <si>
    <t>Верхние 90,0%</t>
  </si>
  <si>
    <t>Нормированные остатки</t>
  </si>
  <si>
    <t>Использование инструмента Регрессия надстройки Пакет Анализа</t>
  </si>
  <si>
    <t>Все расчеты инструмента Регрессия из Надстройки Пакет анализа приведены формулами</t>
  </si>
  <si>
    <t xml:space="preserve"> </t>
  </si>
  <si>
    <t>Результаты расчетов инструмента Регрессия из Надстройки Пакет анализа (значения)</t>
  </si>
  <si>
    <t>Линия регрессии</t>
  </si>
  <si>
    <t>Простая линейная регрессия в MS EXCEL</t>
  </si>
  <si>
    <t>№Набл.</t>
  </si>
  <si>
    <t>Основные вычисления: генерация тренда, вычисление коэффицента регрессии, проверка значимости взаимосвязи</t>
  </si>
  <si>
    <t>ЛИНЕЙН()</t>
  </si>
  <si>
    <t>Диаграмма рассеяния</t>
  </si>
  <si>
    <t>Линейный тренд Y=m+k*X</t>
  </si>
  <si>
    <t>Модель регрессии</t>
  </si>
  <si>
    <t>Значение</t>
  </si>
  <si>
    <t>Сдвиг (b, пост.член, константа регрессии)</t>
  </si>
  <si>
    <t>Наклон (а, коэфф.  регрессии)</t>
  </si>
  <si>
    <t>Для точечной диаграммы (строим линии по 2-м точкам)</t>
  </si>
  <si>
    <t>Для диаграммы типа График</t>
  </si>
  <si>
    <t>Тренд и Линия регрессии (Точечная диаграмма)</t>
  </si>
  <si>
    <t>Тренд и Линия регрессии (диаграмма типа График)</t>
  </si>
  <si>
    <t>Результат функции ЛИНЕЙН()</t>
  </si>
  <si>
    <t>p-значение</t>
  </si>
  <si>
    <t>Проверка через Оценку статистической значимости коэфф. корреляции r</t>
  </si>
  <si>
    <t>Тренд и Линия регрессии</t>
  </si>
  <si>
    <t>Показатель</t>
  </si>
  <si>
    <t>Функция ЛИНЕЙН() введена как формула массива</t>
  </si>
  <si>
    <t>Y - вектор значений зависимой переменной</t>
  </si>
  <si>
    <t>Х - матрица плана (наблюдения Х с доп. единичным столбцом)</t>
  </si>
  <si>
    <r>
      <t>Х' (или Х</t>
    </r>
    <r>
      <rPr>
        <vertAlign val="superscript"/>
        <sz val="11"/>
        <color theme="1"/>
        <rFont val="Calibri"/>
        <family val="2"/>
        <charset val="204"/>
        <scheme val="minor"/>
      </rPr>
      <t>Т</t>
    </r>
    <r>
      <rPr>
        <sz val="11"/>
        <color theme="1"/>
        <rFont val="Calibri"/>
        <family val="2"/>
        <charset val="204"/>
        <scheme val="minor"/>
      </rPr>
      <t>) - транспонированная матрица Х</t>
    </r>
  </si>
  <si>
    <r>
      <t>b -</t>
    </r>
    <r>
      <rPr>
        <sz val="11"/>
        <color theme="1"/>
        <rFont val="Calibri"/>
        <family val="2"/>
        <charset val="204"/>
        <scheme val="minor"/>
      </rPr>
      <t>вектор коэффициентов регрессии (для каждой объясняющей переменной)</t>
    </r>
  </si>
  <si>
    <t>Матричная форма нахождения параметров модели и прогнозных значений Y</t>
  </si>
  <si>
    <t>Через Н матрицу (Hat martix)</t>
  </si>
  <si>
    <t>Y прогноз1</t>
  </si>
  <si>
    <t>Y прогноз2</t>
  </si>
  <si>
    <t>Совпадает с вычислениями на листе Прогноз</t>
  </si>
  <si>
    <t>Значения Х</t>
  </si>
  <si>
    <t>Х - матрица плана</t>
  </si>
  <si>
    <r>
      <t xml:space="preserve">Н - Проекционная матрица (проецирует вектор наблюдаемых значений Y на вектор подобранных значений </t>
    </r>
    <r>
      <rPr>
        <sz val="11"/>
        <color theme="1"/>
        <rFont val="Calibri"/>
        <family val="2"/>
        <charset val="204"/>
      </rPr>
      <t>ŷ</t>
    </r>
    <r>
      <rPr>
        <sz val="11"/>
        <color theme="1"/>
        <rFont val="Calibri"/>
        <family val="2"/>
        <charset val="204"/>
        <scheme val="minor"/>
      </rPr>
      <t>). Размер матрицы nxn (61x61)</t>
    </r>
  </si>
  <si>
    <r>
      <t>(Sey)</t>
    </r>
    <r>
      <rPr>
        <b/>
        <vertAlign val="superscript"/>
        <sz val="10"/>
        <rFont val="Calibri"/>
        <family val="2"/>
        <charset val="204"/>
        <scheme val="minor"/>
      </rPr>
      <t>2</t>
    </r>
    <r>
      <rPr>
        <b/>
        <sz val="10"/>
        <rFont val="Calibri"/>
        <family val="2"/>
        <charset val="204"/>
        <scheme val="minor"/>
      </rPr>
      <t>*(1+1/n)</t>
    </r>
  </si>
  <si>
    <r>
      <t>(Sey)</t>
    </r>
    <r>
      <rPr>
        <b/>
        <vertAlign val="superscript"/>
        <sz val="10"/>
        <rFont val="Calibri"/>
        <family val="2"/>
        <charset val="204"/>
        <scheme val="minor"/>
      </rPr>
      <t>2</t>
    </r>
    <r>
      <rPr>
        <b/>
        <sz val="10"/>
        <rFont val="Calibri"/>
        <family val="2"/>
        <charset val="204"/>
        <scheme val="minor"/>
      </rPr>
      <t>*(1/n)</t>
    </r>
  </si>
  <si>
    <t xml:space="preserve">для Ст. ош. Среднего </t>
  </si>
  <si>
    <t>для Ст. ош. нового наблюдения</t>
  </si>
  <si>
    <t>Доверительные интервалы для наклона и сдвига</t>
  </si>
  <si>
    <t>Se</t>
  </si>
  <si>
    <t>Наклон</t>
  </si>
  <si>
    <t>Сдвиг</t>
  </si>
  <si>
    <t>Коэфф</t>
  </si>
  <si>
    <t>Границы интервала</t>
  </si>
  <si>
    <t>Левая -</t>
  </si>
  <si>
    <t>Правая +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</si>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</sst>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0.000"/>
    <numFmt numFmtId="166" formatCode="0.0000"/>
    <numFmt numFmtId="167" formatCode="0.0"/>
    <numFmt numFmtId="168" formatCode="0.00000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i/>
      <sz val="9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5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8" fillId="0" borderId="0" xfId="7"/>
    <xf numFmtId="0" fontId="12" fillId="4" borderId="0" xfId="7" applyFont="1" applyFill="1" applyAlignment="1">
      <alignment vertical="center" wrapText="1"/>
    </xf>
    <xf numFmtId="0" fontId="13" fillId="0" borderId="0" xfId="1" applyFont="1"/>
    <xf numFmtId="0" fontId="13" fillId="0" borderId="1" xfId="1" applyFont="1" applyBorder="1"/>
    <xf numFmtId="0" fontId="10" fillId="0" borderId="1" xfId="1" applyFont="1" applyBorder="1"/>
    <xf numFmtId="0" fontId="13" fillId="5" borderId="0" xfId="1" applyFont="1" applyFill="1"/>
    <xf numFmtId="0" fontId="14" fillId="0" borderId="0" xfId="1" applyFont="1"/>
    <xf numFmtId="0" fontId="11" fillId="5" borderId="0" xfId="1" applyFont="1" applyFill="1"/>
    <xf numFmtId="0" fontId="4" fillId="2" borderId="0" xfId="2" applyFill="1" applyAlignment="1" applyProtection="1"/>
    <xf numFmtId="0" fontId="10" fillId="6" borderId="1" xfId="1" applyFont="1" applyFill="1" applyBorder="1"/>
    <xf numFmtId="0" fontId="10" fillId="0" borderId="1" xfId="1" applyFont="1" applyFill="1" applyBorder="1"/>
    <xf numFmtId="165" fontId="10" fillId="0" borderId="0" xfId="1" applyNumberFormat="1" applyFont="1"/>
    <xf numFmtId="9" fontId="10" fillId="6" borderId="1" xfId="9" applyFont="1" applyFill="1" applyBorder="1"/>
    <xf numFmtId="0" fontId="13" fillId="0" borderId="1" xfId="1" applyFont="1" applyBorder="1" applyAlignment="1">
      <alignment wrapText="1"/>
    </xf>
    <xf numFmtId="165" fontId="10" fillId="0" borderId="1" xfId="1" applyNumberFormat="1" applyFont="1" applyBorder="1"/>
    <xf numFmtId="166" fontId="10" fillId="0" borderId="1" xfId="1" applyNumberFormat="1" applyFont="1" applyBorder="1"/>
    <xf numFmtId="0" fontId="17" fillId="0" borderId="0" xfId="1" applyFont="1"/>
    <xf numFmtId="0" fontId="10" fillId="0" borderId="1" xfId="1" applyFont="1" applyBorder="1" applyAlignment="1">
      <alignment wrapText="1"/>
    </xf>
    <xf numFmtId="167" fontId="10" fillId="0" borderId="0" xfId="1" applyNumberFormat="1" applyFont="1"/>
    <xf numFmtId="0" fontId="18" fillId="0" borderId="1" xfId="0" applyFont="1" applyBorder="1"/>
    <xf numFmtId="0" fontId="18" fillId="0" borderId="0" xfId="0" applyFont="1"/>
    <xf numFmtId="0" fontId="15" fillId="0" borderId="0" xfId="0" applyFont="1"/>
    <xf numFmtId="0" fontId="15" fillId="0" borderId="1" xfId="0" applyFont="1" applyBorder="1"/>
    <xf numFmtId="0" fontId="20" fillId="0" borderId="1" xfId="0" applyFont="1" applyBorder="1"/>
    <xf numFmtId="0" fontId="15" fillId="0" borderId="1" xfId="0" applyFont="1" applyBorder="1" applyAlignment="1">
      <alignment horizontal="centerContinuous"/>
    </xf>
    <xf numFmtId="0" fontId="18" fillId="0" borderId="1" xfId="0" applyFont="1" applyBorder="1" applyAlignment="1">
      <alignment horizontal="centerContinuous"/>
    </xf>
    <xf numFmtId="0" fontId="18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165" fontId="13" fillId="0" borderId="0" xfId="1" applyNumberFormat="1" applyFont="1"/>
    <xf numFmtId="0" fontId="13" fillId="7" borderId="0" xfId="1" applyFont="1" applyFill="1"/>
    <xf numFmtId="1" fontId="13" fillId="0" borderId="1" xfId="1" applyNumberFormat="1" applyFont="1" applyBorder="1"/>
    <xf numFmtId="166" fontId="10" fillId="0" borderId="0" xfId="1" applyNumberFormat="1" applyFont="1"/>
    <xf numFmtId="0" fontId="10" fillId="5" borderId="0" xfId="1" applyFont="1" applyFill="1"/>
    <xf numFmtId="1" fontId="10" fillId="0" borderId="1" xfId="1" applyNumberFormat="1" applyFont="1" applyBorder="1"/>
    <xf numFmtId="168" fontId="10" fillId="0" borderId="1" xfId="1" applyNumberFormat="1" applyFont="1" applyBorder="1"/>
    <xf numFmtId="2" fontId="10" fillId="0" borderId="0" xfId="1" applyNumberFormat="1" applyFont="1"/>
    <xf numFmtId="0" fontId="10" fillId="7" borderId="0" xfId="1" applyFont="1" applyFill="1"/>
    <xf numFmtId="0" fontId="13" fillId="5" borderId="0" xfId="1" applyFont="1" applyFill="1" applyAlignment="1">
      <alignment wrapText="1"/>
    </xf>
    <xf numFmtId="0" fontId="10" fillId="0" borderId="0" xfId="1" applyFont="1" applyFill="1"/>
    <xf numFmtId="2" fontId="10" fillId="0" borderId="0" xfId="1" applyNumberFormat="1" applyFont="1" applyFill="1"/>
    <xf numFmtId="0" fontId="10" fillId="0" borderId="2" xfId="1" applyFont="1" applyBorder="1"/>
    <xf numFmtId="0" fontId="10" fillId="0" borderId="3" xfId="1" applyFont="1" applyBorder="1"/>
    <xf numFmtId="0" fontId="14" fillId="0" borderId="4" xfId="1" applyFont="1" applyBorder="1" applyAlignment="1">
      <alignment horizontal="centerContinuous" vertical="top" wrapText="1"/>
    </xf>
    <xf numFmtId="0" fontId="10" fillId="0" borderId="5" xfId="1" applyFont="1" applyBorder="1" applyAlignment="1">
      <alignment horizontal="centerContinuous" vertical="top" wrapText="1"/>
    </xf>
    <xf numFmtId="0" fontId="10" fillId="0" borderId="6" xfId="1" applyFont="1" applyBorder="1" applyAlignment="1">
      <alignment horizontal="centerContinuous" vertical="top" wrapText="1"/>
    </xf>
    <xf numFmtId="0" fontId="10" fillId="6" borderId="0" xfId="1" applyFont="1" applyFill="1" applyBorder="1"/>
    <xf numFmtId="0" fontId="10" fillId="0" borderId="0" xfId="1" applyFont="1" applyBorder="1"/>
    <xf numFmtId="165" fontId="10" fillId="0" borderId="0" xfId="1" applyNumberFormat="1" applyFont="1" applyBorder="1"/>
    <xf numFmtId="166" fontId="10" fillId="0" borderId="0" xfId="1" applyNumberFormat="1" applyFont="1" applyBorder="1"/>
    <xf numFmtId="2" fontId="10" fillId="0" borderId="0" xfId="1" applyNumberFormat="1" applyFont="1" applyBorder="1"/>
    <xf numFmtId="0" fontId="10" fillId="8" borderId="8" xfId="1" applyFont="1" applyFill="1" applyBorder="1"/>
    <xf numFmtId="0" fontId="10" fillId="0" borderId="8" xfId="1" applyFont="1" applyBorder="1"/>
    <xf numFmtId="0" fontId="10" fillId="8" borderId="7" xfId="1" applyFont="1" applyFill="1" applyBorder="1"/>
    <xf numFmtId="2" fontId="10" fillId="0" borderId="1" xfId="1" applyNumberFormat="1" applyFont="1" applyBorder="1"/>
    <xf numFmtId="0" fontId="0" fillId="0" borderId="0" xfId="0" applyFill="1" applyBorder="1" applyAlignment="1"/>
    <xf numFmtId="0" fontId="0" fillId="0" borderId="9" xfId="0" applyFill="1" applyBorder="1" applyAlignment="1"/>
    <xf numFmtId="0" fontId="26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Continuous"/>
    </xf>
    <xf numFmtId="165" fontId="0" fillId="0" borderId="0" xfId="0" applyNumberFormat="1"/>
    <xf numFmtId="0" fontId="0" fillId="5" borderId="0" xfId="0" applyFill="1" applyBorder="1" applyAlignment="1"/>
    <xf numFmtId="0" fontId="0" fillId="5" borderId="9" xfId="0" applyFill="1" applyBorder="1" applyAlignment="1"/>
    <xf numFmtId="4" fontId="0" fillId="0" borderId="0" xfId="0" applyNumberFormat="1" applyFill="1" applyBorder="1" applyAlignment="1"/>
    <xf numFmtId="4" fontId="0" fillId="0" borderId="9" xfId="0" applyNumberFormat="1" applyFill="1" applyBorder="1" applyAlignment="1"/>
    <xf numFmtId="4" fontId="0" fillId="5" borderId="0" xfId="0" applyNumberFormat="1" applyFill="1" applyBorder="1" applyAlignment="1"/>
    <xf numFmtId="4" fontId="0" fillId="5" borderId="9" xfId="0" applyNumberFormat="1" applyFill="1" applyBorder="1" applyAlignment="1"/>
    <xf numFmtId="0" fontId="10" fillId="9" borderId="0" xfId="1" applyFont="1" applyFill="1"/>
    <xf numFmtId="0" fontId="17" fillId="9" borderId="0" xfId="1" applyFont="1" applyFill="1"/>
    <xf numFmtId="0" fontId="27" fillId="9" borderId="0" xfId="1" applyFont="1" applyFill="1"/>
    <xf numFmtId="9" fontId="28" fillId="0" borderId="0" xfId="0" applyNumberFormat="1" applyFont="1" applyAlignment="1">
      <alignment horizontal="center"/>
    </xf>
    <xf numFmtId="0" fontId="27" fillId="10" borderId="0" xfId="1" applyFont="1" applyFill="1"/>
    <xf numFmtId="0" fontId="10" fillId="10" borderId="0" xfId="1" applyFont="1" applyFill="1"/>
    <xf numFmtId="0" fontId="17" fillId="10" borderId="0" xfId="1" applyFont="1" applyFill="1"/>
    <xf numFmtId="0" fontId="0" fillId="0" borderId="0" xfId="0" applyAlignment="1">
      <alignment horizontal="left"/>
    </xf>
    <xf numFmtId="0" fontId="26" fillId="0" borderId="1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3" fillId="11" borderId="0" xfId="1" applyFont="1" applyFill="1"/>
    <xf numFmtId="0" fontId="13" fillId="12" borderId="0" xfId="1" applyFont="1" applyFill="1"/>
    <xf numFmtId="166" fontId="10" fillId="5" borderId="1" xfId="1" applyNumberFormat="1" applyFont="1" applyFill="1" applyBorder="1"/>
    <xf numFmtId="0" fontId="19" fillId="0" borderId="1" xfId="0" applyFont="1" applyBorder="1"/>
    <xf numFmtId="0" fontId="13" fillId="0" borderId="1" xfId="1" applyFont="1" applyBorder="1" applyAlignment="1">
      <alignment horizontal="center"/>
    </xf>
    <xf numFmtId="0" fontId="13" fillId="11" borderId="0" xfId="1" applyFont="1" applyFill="1" applyAlignment="1">
      <alignment vertical="top"/>
    </xf>
    <xf numFmtId="0" fontId="13" fillId="5" borderId="0" xfId="1" applyFont="1" applyFill="1" applyAlignment="1">
      <alignment vertical="top"/>
    </xf>
    <xf numFmtId="0" fontId="13" fillId="5" borderId="0" xfId="1" applyFont="1" applyFill="1" applyAlignment="1">
      <alignment vertical="top" wrapText="1"/>
    </xf>
    <xf numFmtId="9" fontId="10" fillId="0" borderId="1" xfId="9" applyFont="1" applyFill="1" applyBorder="1"/>
    <xf numFmtId="0" fontId="13" fillId="12" borderId="0" xfId="1" applyFont="1" applyFill="1" applyAlignment="1">
      <alignment wrapText="1"/>
    </xf>
    <xf numFmtId="0" fontId="13" fillId="12" borderId="0" xfId="1" applyFont="1" applyFill="1" applyAlignment="1"/>
    <xf numFmtId="0" fontId="10" fillId="8" borderId="11" xfId="1" applyFont="1" applyFill="1" applyBorder="1"/>
    <xf numFmtId="0" fontId="14" fillId="0" borderId="2" xfId="1" applyFont="1" applyBorder="1"/>
    <xf numFmtId="0" fontId="29" fillId="0" borderId="7" xfId="1" applyFont="1" applyBorder="1" applyAlignment="1">
      <alignment wrapText="1"/>
    </xf>
    <xf numFmtId="0" fontId="30" fillId="0" borderId="0" xfId="1" applyFont="1"/>
    <xf numFmtId="0" fontId="13" fillId="13" borderId="0" xfId="1" applyFont="1" applyFill="1"/>
    <xf numFmtId="0" fontId="13" fillId="14" borderId="0" xfId="1" applyFont="1" applyFill="1"/>
    <xf numFmtId="165" fontId="13" fillId="14" borderId="0" xfId="1" applyNumberFormat="1" applyFont="1" applyFill="1"/>
    <xf numFmtId="0" fontId="10" fillId="14" borderId="0" xfId="1" applyFont="1" applyFill="1"/>
    <xf numFmtId="0" fontId="0" fillId="0" borderId="0" xfId="0" applyFont="1"/>
    <xf numFmtId="0" fontId="22" fillId="0" borderId="0" xfId="0" applyFont="1" applyBorder="1"/>
    <xf numFmtId="0" fontId="26" fillId="0" borderId="0" xfId="0" applyFont="1" applyAlignment="1">
      <alignment wrapText="1"/>
    </xf>
    <xf numFmtId="0" fontId="4" fillId="0" borderId="0" xfId="2" applyAlignment="1" applyProtection="1"/>
    <xf numFmtId="0" fontId="26" fillId="0" borderId="0" xfId="0" applyFont="1" applyAlignment="1"/>
    <xf numFmtId="0" fontId="23" fillId="0" borderId="13" xfId="0" applyFont="1" applyBorder="1" applyAlignment="1">
      <alignment horizontal="centerContinuous"/>
    </xf>
    <xf numFmtId="0" fontId="18" fillId="0" borderId="12" xfId="0" applyFont="1" applyBorder="1" applyAlignment="1">
      <alignment horizontal="centerContinuous"/>
    </xf>
    <xf numFmtId="0" fontId="14" fillId="0" borderId="1" xfId="1" applyFont="1" applyBorder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Линейный!$H$5</c:f>
          <c:strCache>
            <c:ptCount val="1"/>
            <c:pt idx="0">
              <c:v>Тренд и Линия регрессии</c:v>
            </c:pt>
          </c:strCache>
        </c:strRef>
      </c:tx>
      <c:layout>
        <c:manualLayout>
          <c:xMode val="edge"/>
          <c:yMode val="edge"/>
          <c:x val="0.17591999999999999"/>
          <c:y val="1.0695074880345838E-2"/>
        </c:manualLayout>
      </c:layout>
      <c:overlay val="0"/>
      <c:txPr>
        <a:bodyPr/>
        <a:lstStyle/>
        <a:p>
          <a:pPr algn="ctr"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1177855602290816"/>
          <c:w val="0.85994710661167351"/>
          <c:h val="0.63918889520253264"/>
        </c:manualLayout>
      </c:layout>
      <c:scatterChart>
        <c:scatterStyle val="lineMarker"/>
        <c:varyColors val="0"/>
        <c:ser>
          <c:idx val="1"/>
          <c:order val="0"/>
          <c:tx>
            <c:strRef>
              <c:f>Линейный!$C$22</c:f>
              <c:strCache>
                <c:ptCount val="1"/>
                <c:pt idx="0">
                  <c:v>Y (прочность)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Линейный!$B$23:$B$83</c:f>
              <c:numCache>
                <c:formatCode>General</c:formatCode>
                <c:ptCount val="6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  <c:pt idx="47">
                  <c:v>245</c:v>
                </c:pt>
                <c:pt idx="48">
                  <c:v>250</c:v>
                </c:pt>
                <c:pt idx="49">
                  <c:v>255</c:v>
                </c:pt>
                <c:pt idx="50">
                  <c:v>260</c:v>
                </c:pt>
                <c:pt idx="51">
                  <c:v>265</c:v>
                </c:pt>
                <c:pt idx="52">
                  <c:v>270</c:v>
                </c:pt>
                <c:pt idx="53">
                  <c:v>275</c:v>
                </c:pt>
                <c:pt idx="54">
                  <c:v>280</c:v>
                </c:pt>
                <c:pt idx="55">
                  <c:v>285</c:v>
                </c:pt>
                <c:pt idx="56">
                  <c:v>290</c:v>
                </c:pt>
                <c:pt idx="57">
                  <c:v>295</c:v>
                </c:pt>
                <c:pt idx="58">
                  <c:v>300</c:v>
                </c:pt>
                <c:pt idx="59">
                  <c:v>305</c:v>
                </c:pt>
                <c:pt idx="60">
                  <c:v>310</c:v>
                </c:pt>
              </c:numCache>
            </c:numRef>
          </c:xVal>
          <c:yVal>
            <c:numRef>
              <c:f>Линейный!$C$23:$C$83</c:f>
              <c:numCache>
                <c:formatCode>0.000</c:formatCode>
                <c:ptCount val="61"/>
                <c:pt idx="0">
                  <c:v>88.862866116531904</c:v>
                </c:pt>
                <c:pt idx="1">
                  <c:v>47.012388134725924</c:v>
                </c:pt>
                <c:pt idx="2">
                  <c:v>251.1600380945527</c:v>
                </c:pt>
                <c:pt idx="3">
                  <c:v>30.963202117293292</c:v>
                </c:pt>
                <c:pt idx="4">
                  <c:v>270.24676115036306</c:v>
                </c:pt>
                <c:pt idx="5">
                  <c:v>229.17210946189493</c:v>
                </c:pt>
                <c:pt idx="6">
                  <c:v>242.90035637162802</c:v>
                </c:pt>
                <c:pt idx="7">
                  <c:v>290.80108472018736</c:v>
                </c:pt>
                <c:pt idx="8">
                  <c:v>424.80320299358942</c:v>
                </c:pt>
                <c:pt idx="9">
                  <c:v>108.55373538466083</c:v>
                </c:pt>
                <c:pt idx="10">
                  <c:v>233.1170475684809</c:v>
                </c:pt>
                <c:pt idx="11">
                  <c:v>330.62913344803286</c:v>
                </c:pt>
                <c:pt idx="12">
                  <c:v>361.11444224548211</c:v>
                </c:pt>
                <c:pt idx="13">
                  <c:v>201.19328043559568</c:v>
                </c:pt>
                <c:pt idx="14">
                  <c:v>464.07140961706824</c:v>
                </c:pt>
                <c:pt idx="15">
                  <c:v>579.14685415480631</c:v>
                </c:pt>
                <c:pt idx="16">
                  <c:v>635.24920972038785</c:v>
                </c:pt>
                <c:pt idx="17">
                  <c:v>283.76598217248187</c:v>
                </c:pt>
                <c:pt idx="18">
                  <c:v>602.82209872923488</c:v>
                </c:pt>
                <c:pt idx="19">
                  <c:v>291.03991466733356</c:v>
                </c:pt>
                <c:pt idx="20">
                  <c:v>281.16893742305444</c:v>
                </c:pt>
                <c:pt idx="21">
                  <c:v>352.14079198089843</c:v>
                </c:pt>
                <c:pt idx="22">
                  <c:v>422.03767174040337</c:v>
                </c:pt>
                <c:pt idx="23">
                  <c:v>266.48600516068632</c:v>
                </c:pt>
                <c:pt idx="24">
                  <c:v>548.90950918538545</c:v>
                </c:pt>
                <c:pt idx="25">
                  <c:v>558.87248347608931</c:v>
                </c:pt>
                <c:pt idx="26">
                  <c:v>339.9731507992521</c:v>
                </c:pt>
                <c:pt idx="27">
                  <c:v>596.59088413494931</c:v>
                </c:pt>
                <c:pt idx="28">
                  <c:v>513.4879363511136</c:v>
                </c:pt>
                <c:pt idx="29">
                  <c:v>554.79239448578187</c:v>
                </c:pt>
                <c:pt idx="30">
                  <c:v>700.57148061705107</c:v>
                </c:pt>
                <c:pt idx="31">
                  <c:v>455.76783337792227</c:v>
                </c:pt>
                <c:pt idx="32">
                  <c:v>384.52223829680088</c:v>
                </c:pt>
                <c:pt idx="33">
                  <c:v>709.78086270173287</c:v>
                </c:pt>
                <c:pt idx="34">
                  <c:v>645.06089653585798</c:v>
                </c:pt>
                <c:pt idx="35">
                  <c:v>788.99356300623583</c:v>
                </c:pt>
                <c:pt idx="36">
                  <c:v>834.13986449241963</c:v>
                </c:pt>
                <c:pt idx="37">
                  <c:v>668.44035408557806</c:v>
                </c:pt>
                <c:pt idx="38">
                  <c:v>584.27355527254156</c:v>
                </c:pt>
                <c:pt idx="39">
                  <c:v>848.51080810791882</c:v>
                </c:pt>
                <c:pt idx="40">
                  <c:v>580.45948012044073</c:v>
                </c:pt>
                <c:pt idx="41">
                  <c:v>756.59519960871262</c:v>
                </c:pt>
                <c:pt idx="42">
                  <c:v>894.39362383638024</c:v>
                </c:pt>
                <c:pt idx="43">
                  <c:v>838.03161073585773</c:v>
                </c:pt>
                <c:pt idx="44">
                  <c:v>648.69205528562088</c:v>
                </c:pt>
                <c:pt idx="45">
                  <c:v>836.47727533980685</c:v>
                </c:pt>
                <c:pt idx="46">
                  <c:v>762.69879582195415</c:v>
                </c:pt>
                <c:pt idx="47">
                  <c:v>605.56832095296068</c:v>
                </c:pt>
                <c:pt idx="48">
                  <c:v>840.11456726199037</c:v>
                </c:pt>
                <c:pt idx="49">
                  <c:v>955.88889979718965</c:v>
                </c:pt>
                <c:pt idx="50">
                  <c:v>1011.4160022703484</c:v>
                </c:pt>
                <c:pt idx="51">
                  <c:v>934.50202402706577</c:v>
                </c:pt>
                <c:pt idx="52">
                  <c:v>969.95138694187892</c:v>
                </c:pt>
                <c:pt idx="53">
                  <c:v>1066.2509626897208</c:v>
                </c:pt>
                <c:pt idx="54">
                  <c:v>889.90470469977527</c:v>
                </c:pt>
                <c:pt idx="55">
                  <c:v>1100.8815306674619</c:v>
                </c:pt>
                <c:pt idx="56">
                  <c:v>833.08327843162147</c:v>
                </c:pt>
                <c:pt idx="57">
                  <c:v>1158.4955453083955</c:v>
                </c:pt>
                <c:pt idx="58">
                  <c:v>840.56547156471947</c:v>
                </c:pt>
                <c:pt idx="59">
                  <c:v>725.07901592441374</c:v>
                </c:pt>
                <c:pt idx="60">
                  <c:v>1188.8917878713116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2E-453A-9C94-F62D927DF49D}"/>
            </c:ext>
          </c:extLst>
        </c:ser>
        <c:ser>
          <c:idx val="0"/>
          <c:order val="1"/>
          <c:tx>
            <c:strRef>
              <c:f>Линейный!$Q$6</c:f>
              <c:strCache>
                <c:ptCount val="1"/>
                <c:pt idx="0">
                  <c:v>Y линия тренда</c:v>
                </c:pt>
              </c:strCache>
            </c:strRef>
          </c:tx>
          <c:spPr>
            <a:ln w="22225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Линейный!$P$7:$P$8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Линейный!$Q$7:$Q$8</c:f>
              <c:numCache>
                <c:formatCode>General</c:formatCode>
                <c:ptCount val="2"/>
                <c:pt idx="0">
                  <c:v>130</c:v>
                </c:pt>
                <c:pt idx="1">
                  <c:v>1030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2E-453A-9C94-F62D927DF49D}"/>
            </c:ext>
          </c:extLst>
        </c:ser>
        <c:ser>
          <c:idx val="2"/>
          <c:order val="2"/>
          <c:tx>
            <c:strRef>
              <c:f>Линейный!$R$6</c:f>
              <c:strCache>
                <c:ptCount val="1"/>
                <c:pt idx="0">
                  <c:v>Y линия регрессии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Линейный!$P$7:$P$8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Линейный!$R$7:$R$8</c:f>
              <c:numCache>
                <c:formatCode>0.000</c:formatCode>
                <c:ptCount val="2"/>
                <c:pt idx="0">
                  <c:v>133.96130627792581</c:v>
                </c:pt>
                <c:pt idx="1">
                  <c:v>1028.6317388923571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2E-453A-9C94-F62D927D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33344"/>
        <c:axId val="136794880"/>
      </c:scatterChart>
      <c:valAx>
        <c:axId val="1366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794880"/>
        <c:crosses val="autoZero"/>
        <c:crossBetween val="midCat"/>
      </c:valAx>
      <c:valAx>
        <c:axId val="136794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7.29998456075345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663334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ru-RU"/>
              <a:t>Границы предсказания (+/- </a:t>
            </a:r>
            <a:r>
              <a:rPr lang="en-US"/>
              <a:t>2</a:t>
            </a:r>
            <a:r>
              <a:rPr lang="en-US" baseline="0"/>
              <a:t> </a:t>
            </a:r>
            <a:r>
              <a:rPr lang="en-US"/>
              <a:t>SEy</a:t>
            </a:r>
            <a:r>
              <a:rPr lang="ru-RU"/>
              <a:t>)</a:t>
            </a:r>
          </a:p>
        </c:rich>
      </c:tx>
      <c:layout>
        <c:manualLayout>
          <c:xMode val="edge"/>
          <c:yMode val="edge"/>
          <c:x val="0.31421779192494553"/>
          <c:y val="1.81951807470828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1177855602290816"/>
          <c:w val="0.85994710661167351"/>
          <c:h val="0.70567683941468096"/>
        </c:manualLayout>
      </c:layout>
      <c:scatterChart>
        <c:scatterStyle val="lineMarker"/>
        <c:varyColors val="0"/>
        <c:ser>
          <c:idx val="1"/>
          <c:order val="0"/>
          <c:tx>
            <c:strRef>
              <c:f>Линейный!$C$22</c:f>
              <c:strCache>
                <c:ptCount val="1"/>
                <c:pt idx="0">
                  <c:v>Y (прочность)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Линейный!$B$23:$B$83</c:f>
              <c:numCache>
                <c:formatCode>General</c:formatCode>
                <c:ptCount val="6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  <c:pt idx="47">
                  <c:v>245</c:v>
                </c:pt>
                <c:pt idx="48">
                  <c:v>250</c:v>
                </c:pt>
                <c:pt idx="49">
                  <c:v>255</c:v>
                </c:pt>
                <c:pt idx="50">
                  <c:v>260</c:v>
                </c:pt>
                <c:pt idx="51">
                  <c:v>265</c:v>
                </c:pt>
                <c:pt idx="52">
                  <c:v>270</c:v>
                </c:pt>
                <c:pt idx="53">
                  <c:v>275</c:v>
                </c:pt>
                <c:pt idx="54">
                  <c:v>280</c:v>
                </c:pt>
                <c:pt idx="55">
                  <c:v>285</c:v>
                </c:pt>
                <c:pt idx="56">
                  <c:v>290</c:v>
                </c:pt>
                <c:pt idx="57">
                  <c:v>295</c:v>
                </c:pt>
                <c:pt idx="58">
                  <c:v>300</c:v>
                </c:pt>
                <c:pt idx="59">
                  <c:v>305</c:v>
                </c:pt>
                <c:pt idx="60">
                  <c:v>310</c:v>
                </c:pt>
              </c:numCache>
            </c:numRef>
          </c:xVal>
          <c:yVal>
            <c:numRef>
              <c:f>Линейный!$C$23:$C$83</c:f>
              <c:numCache>
                <c:formatCode>0.000</c:formatCode>
                <c:ptCount val="61"/>
                <c:pt idx="0">
                  <c:v>88.862866116531904</c:v>
                </c:pt>
                <c:pt idx="1">
                  <c:v>47.012388134725924</c:v>
                </c:pt>
                <c:pt idx="2">
                  <c:v>251.1600380945527</c:v>
                </c:pt>
                <c:pt idx="3">
                  <c:v>30.963202117293292</c:v>
                </c:pt>
                <c:pt idx="4">
                  <c:v>270.24676115036306</c:v>
                </c:pt>
                <c:pt idx="5">
                  <c:v>229.17210946189493</c:v>
                </c:pt>
                <c:pt idx="6">
                  <c:v>242.90035637162802</c:v>
                </c:pt>
                <c:pt idx="7">
                  <c:v>290.80108472018736</c:v>
                </c:pt>
                <c:pt idx="8">
                  <c:v>424.80320299358942</c:v>
                </c:pt>
                <c:pt idx="9">
                  <c:v>108.55373538466083</c:v>
                </c:pt>
                <c:pt idx="10">
                  <c:v>233.1170475684809</c:v>
                </c:pt>
                <c:pt idx="11">
                  <c:v>330.62913344803286</c:v>
                </c:pt>
                <c:pt idx="12">
                  <c:v>361.11444224548211</c:v>
                </c:pt>
                <c:pt idx="13">
                  <c:v>201.19328043559568</c:v>
                </c:pt>
                <c:pt idx="14">
                  <c:v>464.07140961706824</c:v>
                </c:pt>
                <c:pt idx="15">
                  <c:v>579.14685415480631</c:v>
                </c:pt>
                <c:pt idx="16">
                  <c:v>635.24920972038785</c:v>
                </c:pt>
                <c:pt idx="17">
                  <c:v>283.76598217248187</c:v>
                </c:pt>
                <c:pt idx="18">
                  <c:v>602.82209872923488</c:v>
                </c:pt>
                <c:pt idx="19">
                  <c:v>291.03991466733356</c:v>
                </c:pt>
                <c:pt idx="20">
                  <c:v>281.16893742305444</c:v>
                </c:pt>
                <c:pt idx="21">
                  <c:v>352.14079198089843</c:v>
                </c:pt>
                <c:pt idx="22">
                  <c:v>422.03767174040337</c:v>
                </c:pt>
                <c:pt idx="23">
                  <c:v>266.48600516068632</c:v>
                </c:pt>
                <c:pt idx="24">
                  <c:v>548.90950918538545</c:v>
                </c:pt>
                <c:pt idx="25">
                  <c:v>558.87248347608931</c:v>
                </c:pt>
                <c:pt idx="26">
                  <c:v>339.9731507992521</c:v>
                </c:pt>
                <c:pt idx="27">
                  <c:v>596.59088413494931</c:v>
                </c:pt>
                <c:pt idx="28">
                  <c:v>513.4879363511136</c:v>
                </c:pt>
                <c:pt idx="29">
                  <c:v>554.79239448578187</c:v>
                </c:pt>
                <c:pt idx="30">
                  <c:v>700.57148061705107</c:v>
                </c:pt>
                <c:pt idx="31">
                  <c:v>455.76783337792227</c:v>
                </c:pt>
                <c:pt idx="32">
                  <c:v>384.52223829680088</c:v>
                </c:pt>
                <c:pt idx="33">
                  <c:v>709.78086270173287</c:v>
                </c:pt>
                <c:pt idx="34">
                  <c:v>645.06089653585798</c:v>
                </c:pt>
                <c:pt idx="35">
                  <c:v>788.99356300623583</c:v>
                </c:pt>
                <c:pt idx="36">
                  <c:v>834.13986449241963</c:v>
                </c:pt>
                <c:pt idx="37">
                  <c:v>668.44035408557806</c:v>
                </c:pt>
                <c:pt idx="38">
                  <c:v>584.27355527254156</c:v>
                </c:pt>
                <c:pt idx="39">
                  <c:v>848.51080810791882</c:v>
                </c:pt>
                <c:pt idx="40">
                  <c:v>580.45948012044073</c:v>
                </c:pt>
                <c:pt idx="41">
                  <c:v>756.59519960871262</c:v>
                </c:pt>
                <c:pt idx="42">
                  <c:v>894.39362383638024</c:v>
                </c:pt>
                <c:pt idx="43">
                  <c:v>838.03161073585773</c:v>
                </c:pt>
                <c:pt idx="44">
                  <c:v>648.69205528562088</c:v>
                </c:pt>
                <c:pt idx="45">
                  <c:v>836.47727533980685</c:v>
                </c:pt>
                <c:pt idx="46">
                  <c:v>762.69879582195415</c:v>
                </c:pt>
                <c:pt idx="47">
                  <c:v>605.56832095296068</c:v>
                </c:pt>
                <c:pt idx="48">
                  <c:v>840.11456726199037</c:v>
                </c:pt>
                <c:pt idx="49">
                  <c:v>955.88889979718965</c:v>
                </c:pt>
                <c:pt idx="50">
                  <c:v>1011.4160022703484</c:v>
                </c:pt>
                <c:pt idx="51">
                  <c:v>934.50202402706577</c:v>
                </c:pt>
                <c:pt idx="52">
                  <c:v>969.95138694187892</c:v>
                </c:pt>
                <c:pt idx="53">
                  <c:v>1066.2509626897208</c:v>
                </c:pt>
                <c:pt idx="54">
                  <c:v>889.90470469977527</c:v>
                </c:pt>
                <c:pt idx="55">
                  <c:v>1100.8815306674619</c:v>
                </c:pt>
                <c:pt idx="56">
                  <c:v>833.08327843162147</c:v>
                </c:pt>
                <c:pt idx="57">
                  <c:v>1158.4955453083955</c:v>
                </c:pt>
                <c:pt idx="58">
                  <c:v>840.56547156471947</c:v>
                </c:pt>
                <c:pt idx="59">
                  <c:v>725.07901592441374</c:v>
                </c:pt>
                <c:pt idx="60">
                  <c:v>1188.8917878713116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67-42CB-A979-A0DF4FDB3A56}"/>
            </c:ext>
          </c:extLst>
        </c:ser>
        <c:ser>
          <c:idx val="2"/>
          <c:order val="1"/>
          <c:tx>
            <c:strRef>
              <c:f>Линейный!$R$6</c:f>
              <c:strCache>
                <c:ptCount val="1"/>
                <c:pt idx="0">
                  <c:v>Y линия регрессии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Линейный!$P$7:$P$8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Линейный!$R$7:$R$8</c:f>
              <c:numCache>
                <c:formatCode>0.000</c:formatCode>
                <c:ptCount val="2"/>
                <c:pt idx="0">
                  <c:v>133.96130627792581</c:v>
                </c:pt>
                <c:pt idx="1">
                  <c:v>1028.6317388923571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67-42CB-A979-A0DF4FDB3A56}"/>
            </c:ext>
          </c:extLst>
        </c:ser>
        <c:ser>
          <c:idx val="0"/>
          <c:order val="2"/>
          <c:tx>
            <c:strRef>
              <c:f>Линейный!$M$59</c:f>
              <c:strCache>
                <c:ptCount val="1"/>
                <c:pt idx="0">
                  <c:v>Верхняя линия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Линейный!$L$60:$L$61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Линейный!$M$60:$M$61</c:f>
              <c:numCache>
                <c:formatCode>General</c:formatCode>
                <c:ptCount val="2"/>
                <c:pt idx="0">
                  <c:v>394.0161643730533</c:v>
                </c:pt>
                <c:pt idx="1">
                  <c:v>1288.6865969874846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67-42CB-A979-A0DF4FDB3A56}"/>
            </c:ext>
          </c:extLst>
        </c:ser>
        <c:ser>
          <c:idx val="3"/>
          <c:order val="3"/>
          <c:tx>
            <c:strRef>
              <c:f>Линейный!$N$59</c:f>
              <c:strCache>
                <c:ptCount val="1"/>
                <c:pt idx="0">
                  <c:v>Нижняя линия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Линейный!$L$60:$L$61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Линейный!$N$60:$N$61</c:f>
              <c:numCache>
                <c:formatCode>General</c:formatCode>
                <c:ptCount val="2"/>
                <c:pt idx="0">
                  <c:v>-126.09355181720167</c:v>
                </c:pt>
                <c:pt idx="1">
                  <c:v>768.57688079722971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67-42CB-A979-A0DF4FDB3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18048"/>
        <c:axId val="136828032"/>
      </c:scatterChart>
      <c:valAx>
        <c:axId val="1368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828032"/>
        <c:crosses val="autoZero"/>
        <c:crossBetween val="midCat"/>
      </c:valAx>
      <c:valAx>
        <c:axId val="1368280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3.17203383632773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681804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'Диаграмма рассеяния'!$F$5</c:f>
          <c:strCache>
            <c:ptCount val="1"/>
            <c:pt idx="0">
              <c:v>Тренд и Линия регрессии (Точечная диаграмма)</c:v>
            </c:pt>
          </c:strCache>
        </c:strRef>
      </c:tx>
      <c:layout>
        <c:manualLayout>
          <c:xMode val="edge"/>
          <c:yMode val="edge"/>
          <c:x val="0.17591999999999999"/>
          <c:y val="1.0695074880345838E-2"/>
        </c:manualLayout>
      </c:layout>
      <c:overlay val="0"/>
      <c:txPr>
        <a:bodyPr/>
        <a:lstStyle/>
        <a:p>
          <a:pPr algn="ctr"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1177855602290816"/>
          <c:w val="0.85994710661167351"/>
          <c:h val="0.68046870302202933"/>
        </c:manualLayout>
      </c:layout>
      <c:scatterChart>
        <c:scatterStyle val="lineMarker"/>
        <c:varyColors val="0"/>
        <c:ser>
          <c:idx val="1"/>
          <c:order val="0"/>
          <c:tx>
            <c:strRef>
              <c:f>'Диаграмма рассеяния'!$C$23</c:f>
              <c:strCache>
                <c:ptCount val="1"/>
                <c:pt idx="0">
                  <c:v>Y норм.разбр.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'Диаграмма рассеяния'!$B$24:$B$84</c:f>
              <c:numCache>
                <c:formatCode>General</c:formatCode>
                <c:ptCount val="6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  <c:pt idx="47">
                  <c:v>245</c:v>
                </c:pt>
                <c:pt idx="48">
                  <c:v>250</c:v>
                </c:pt>
                <c:pt idx="49">
                  <c:v>255</c:v>
                </c:pt>
                <c:pt idx="50">
                  <c:v>260</c:v>
                </c:pt>
                <c:pt idx="51">
                  <c:v>265</c:v>
                </c:pt>
                <c:pt idx="52">
                  <c:v>270</c:v>
                </c:pt>
                <c:pt idx="53">
                  <c:v>275</c:v>
                </c:pt>
                <c:pt idx="54">
                  <c:v>280</c:v>
                </c:pt>
                <c:pt idx="55">
                  <c:v>285</c:v>
                </c:pt>
                <c:pt idx="56">
                  <c:v>290</c:v>
                </c:pt>
                <c:pt idx="57">
                  <c:v>295</c:v>
                </c:pt>
                <c:pt idx="58">
                  <c:v>300</c:v>
                </c:pt>
                <c:pt idx="59">
                  <c:v>305</c:v>
                </c:pt>
                <c:pt idx="60">
                  <c:v>310</c:v>
                </c:pt>
              </c:numCache>
            </c:numRef>
          </c:xVal>
          <c:yVal>
            <c:numRef>
              <c:f>'Диаграмма рассеяния'!$C$24:$C$84</c:f>
              <c:numCache>
                <c:formatCode>0.000</c:formatCode>
                <c:ptCount val="61"/>
                <c:pt idx="0">
                  <c:v>88.862866116531904</c:v>
                </c:pt>
                <c:pt idx="1">
                  <c:v>47.012388134725924</c:v>
                </c:pt>
                <c:pt idx="2">
                  <c:v>251.1600380945527</c:v>
                </c:pt>
                <c:pt idx="3">
                  <c:v>30.963202117293292</c:v>
                </c:pt>
                <c:pt idx="4">
                  <c:v>270.24676115036306</c:v>
                </c:pt>
                <c:pt idx="5">
                  <c:v>229.17210946189493</c:v>
                </c:pt>
                <c:pt idx="6">
                  <c:v>242.90035637162802</c:v>
                </c:pt>
                <c:pt idx="7">
                  <c:v>290.80108472018736</c:v>
                </c:pt>
                <c:pt idx="8">
                  <c:v>424.80320299358942</c:v>
                </c:pt>
                <c:pt idx="9">
                  <c:v>108.55373538466083</c:v>
                </c:pt>
                <c:pt idx="10">
                  <c:v>233.1170475684809</c:v>
                </c:pt>
                <c:pt idx="11">
                  <c:v>330.62913344803286</c:v>
                </c:pt>
                <c:pt idx="12">
                  <c:v>361.11444224548211</c:v>
                </c:pt>
                <c:pt idx="13">
                  <c:v>201.19328043559568</c:v>
                </c:pt>
                <c:pt idx="14">
                  <c:v>464.07140961706824</c:v>
                </c:pt>
                <c:pt idx="15">
                  <c:v>579.14685415480631</c:v>
                </c:pt>
                <c:pt idx="16">
                  <c:v>635.24920972038785</c:v>
                </c:pt>
                <c:pt idx="17">
                  <c:v>283.76598217248187</c:v>
                </c:pt>
                <c:pt idx="18">
                  <c:v>602.82209872923488</c:v>
                </c:pt>
                <c:pt idx="19">
                  <c:v>291.03991466733356</c:v>
                </c:pt>
                <c:pt idx="20">
                  <c:v>281.16893742305444</c:v>
                </c:pt>
                <c:pt idx="21">
                  <c:v>352.14079198089843</c:v>
                </c:pt>
                <c:pt idx="22">
                  <c:v>422.03767174040337</c:v>
                </c:pt>
                <c:pt idx="23">
                  <c:v>266.48600516068632</c:v>
                </c:pt>
                <c:pt idx="24">
                  <c:v>548.90950918538545</c:v>
                </c:pt>
                <c:pt idx="25">
                  <c:v>558.87248347608931</c:v>
                </c:pt>
                <c:pt idx="26">
                  <c:v>339.9731507992521</c:v>
                </c:pt>
                <c:pt idx="27">
                  <c:v>596.59088413494931</c:v>
                </c:pt>
                <c:pt idx="28">
                  <c:v>513.4879363511136</c:v>
                </c:pt>
                <c:pt idx="29">
                  <c:v>554.79239448578187</c:v>
                </c:pt>
                <c:pt idx="30">
                  <c:v>700.57148061705107</c:v>
                </c:pt>
                <c:pt idx="31">
                  <c:v>455.76783337792227</c:v>
                </c:pt>
                <c:pt idx="32">
                  <c:v>384.52223829680088</c:v>
                </c:pt>
                <c:pt idx="33">
                  <c:v>709.78086270173287</c:v>
                </c:pt>
                <c:pt idx="34">
                  <c:v>645.06089653585798</c:v>
                </c:pt>
                <c:pt idx="35">
                  <c:v>788.99356300623583</c:v>
                </c:pt>
                <c:pt idx="36">
                  <c:v>834.13986449241963</c:v>
                </c:pt>
                <c:pt idx="37">
                  <c:v>668.44035408557806</c:v>
                </c:pt>
                <c:pt idx="38">
                  <c:v>584.27355527254156</c:v>
                </c:pt>
                <c:pt idx="39">
                  <c:v>848.51080810791882</c:v>
                </c:pt>
                <c:pt idx="40">
                  <c:v>580.45948012044073</c:v>
                </c:pt>
                <c:pt idx="41">
                  <c:v>756.59519960871262</c:v>
                </c:pt>
                <c:pt idx="42">
                  <c:v>894.39362383638024</c:v>
                </c:pt>
                <c:pt idx="43">
                  <c:v>838.03161073585773</c:v>
                </c:pt>
                <c:pt idx="44">
                  <c:v>648.69205528562088</c:v>
                </c:pt>
                <c:pt idx="45">
                  <c:v>836.47727533980685</c:v>
                </c:pt>
                <c:pt idx="46">
                  <c:v>762.69879582195415</c:v>
                </c:pt>
                <c:pt idx="47">
                  <c:v>605.56832095296068</c:v>
                </c:pt>
                <c:pt idx="48">
                  <c:v>840.11456726199037</c:v>
                </c:pt>
                <c:pt idx="49">
                  <c:v>955.88889979718965</c:v>
                </c:pt>
                <c:pt idx="50">
                  <c:v>1011.4160022703484</c:v>
                </c:pt>
                <c:pt idx="51">
                  <c:v>934.50202402706577</c:v>
                </c:pt>
                <c:pt idx="52">
                  <c:v>969.95138694187892</c:v>
                </c:pt>
                <c:pt idx="53">
                  <c:v>1066.2509626897208</c:v>
                </c:pt>
                <c:pt idx="54">
                  <c:v>889.90470469977527</c:v>
                </c:pt>
                <c:pt idx="55">
                  <c:v>1100.8815306674619</c:v>
                </c:pt>
                <c:pt idx="56">
                  <c:v>833.08327843162147</c:v>
                </c:pt>
                <c:pt idx="57">
                  <c:v>1158.4955453083955</c:v>
                </c:pt>
                <c:pt idx="58">
                  <c:v>840.56547156471947</c:v>
                </c:pt>
                <c:pt idx="59">
                  <c:v>725.07901592441374</c:v>
                </c:pt>
                <c:pt idx="60">
                  <c:v>1188.8917878713116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03-45FC-8C02-00E9317EDB3C}"/>
            </c:ext>
          </c:extLst>
        </c:ser>
        <c:ser>
          <c:idx val="0"/>
          <c:order val="1"/>
          <c:tx>
            <c:strRef>
              <c:f>'Диаграмма рассеяния'!$S$6</c:f>
              <c:strCache>
                <c:ptCount val="1"/>
                <c:pt idx="0">
                  <c:v>Y линия тренда</c:v>
                </c:pt>
              </c:strCache>
            </c:strRef>
          </c:tx>
          <c:spPr>
            <a:ln w="22225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'Диаграмма рассеяния'!$R$7:$R$8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'Диаграмма рассеяния'!$S$7:$S$8</c:f>
              <c:numCache>
                <c:formatCode>General</c:formatCode>
                <c:ptCount val="2"/>
                <c:pt idx="0">
                  <c:v>130</c:v>
                </c:pt>
                <c:pt idx="1">
                  <c:v>1030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03-45FC-8C02-00E9317EDB3C}"/>
            </c:ext>
          </c:extLst>
        </c:ser>
        <c:ser>
          <c:idx val="2"/>
          <c:order val="2"/>
          <c:tx>
            <c:strRef>
              <c:f>'Диаграмма рассеяния'!$T$6</c:f>
              <c:strCache>
                <c:ptCount val="1"/>
                <c:pt idx="0">
                  <c:v>Y линия регрессии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'Диаграмма рассеяния'!$R$7:$R$8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'Диаграмма рассеяния'!$T$7:$T$8</c:f>
              <c:numCache>
                <c:formatCode>0.000</c:formatCode>
                <c:ptCount val="2"/>
                <c:pt idx="0">
                  <c:v>133.96130627792581</c:v>
                </c:pt>
                <c:pt idx="1">
                  <c:v>1028.6317388923571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03-45FC-8C02-00E9317E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4032"/>
        <c:axId val="136845568"/>
      </c:scatterChart>
      <c:valAx>
        <c:axId val="1368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845568"/>
        <c:crosses val="autoZero"/>
        <c:crossBetween val="midCat"/>
      </c:valAx>
      <c:valAx>
        <c:axId val="1368455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7.29998456075345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684403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'Диаграмма рассеяния'!$F$22</c:f>
          <c:strCache>
            <c:ptCount val="1"/>
            <c:pt idx="0">
              <c:v>Тренд и Линия регрессии (диаграмма типа График)</c:v>
            </c:pt>
          </c:strCache>
        </c:strRef>
      </c:tx>
      <c:layout>
        <c:manualLayout>
          <c:xMode val="edge"/>
          <c:yMode val="edge"/>
          <c:x val="0.20874992125984249"/>
          <c:y val="2.8519376254438791E-3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1177855602290816"/>
          <c:w val="0.85994710661167351"/>
          <c:h val="0.71341566893179453"/>
        </c:manualLayout>
      </c:layout>
      <c:lineChart>
        <c:grouping val="standard"/>
        <c:varyColors val="0"/>
        <c:ser>
          <c:idx val="0"/>
          <c:order val="0"/>
          <c:tx>
            <c:strRef>
              <c:f>'Диаграмма рассеяния'!$Q$23</c:f>
              <c:strCache>
                <c:ptCount val="1"/>
                <c:pt idx="0">
                  <c:v>Y тренд</c:v>
                </c:pt>
              </c:strCache>
            </c:strRef>
          </c:tx>
          <c:spPr>
            <a:ln w="25400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cat>
            <c:numRef>
              <c:f>'Диаграмма рассеяния'!$B$24:$B$84</c:f>
              <c:numCache>
                <c:formatCode>General</c:formatCode>
                <c:ptCount val="6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  <c:pt idx="47">
                  <c:v>245</c:v>
                </c:pt>
                <c:pt idx="48">
                  <c:v>250</c:v>
                </c:pt>
                <c:pt idx="49">
                  <c:v>255</c:v>
                </c:pt>
                <c:pt idx="50">
                  <c:v>260</c:v>
                </c:pt>
                <c:pt idx="51">
                  <c:v>265</c:v>
                </c:pt>
                <c:pt idx="52">
                  <c:v>270</c:v>
                </c:pt>
                <c:pt idx="53">
                  <c:v>275</c:v>
                </c:pt>
                <c:pt idx="54">
                  <c:v>280</c:v>
                </c:pt>
                <c:pt idx="55">
                  <c:v>285</c:v>
                </c:pt>
                <c:pt idx="56">
                  <c:v>290</c:v>
                </c:pt>
                <c:pt idx="57">
                  <c:v>295</c:v>
                </c:pt>
                <c:pt idx="58">
                  <c:v>300</c:v>
                </c:pt>
                <c:pt idx="59">
                  <c:v>305</c:v>
                </c:pt>
                <c:pt idx="60">
                  <c:v>310</c:v>
                </c:pt>
              </c:numCache>
            </c:numRef>
          </c:cat>
          <c:val>
            <c:numRef>
              <c:f>'Диаграмма рассеяния'!$Q$24:$Q$84</c:f>
              <c:numCache>
                <c:formatCode>General</c:formatCode>
                <c:ptCount val="61"/>
                <c:pt idx="0">
                  <c:v>130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D-4120-94B2-FDEF287A1EE4}"/>
            </c:ext>
          </c:extLst>
        </c:ser>
        <c:ser>
          <c:idx val="1"/>
          <c:order val="1"/>
          <c:tx>
            <c:strRef>
              <c:f>'Диаграмма рассеяния'!$C$23</c:f>
              <c:strCache>
                <c:ptCount val="1"/>
                <c:pt idx="0">
                  <c:v>Y норм.разбр.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</c:marker>
          <c:trendline>
            <c:trendlineType val="linear"/>
            <c:dispRSqr val="1"/>
            <c:dispEq val="1"/>
            <c:trendlineLbl>
              <c:layout/>
              <c:numFmt formatCode="#,##0.0000" sourceLinked="0"/>
            </c:trendlineLbl>
          </c:trendline>
          <c:cat>
            <c:numRef>
              <c:f>'Диаграмма рассеяния'!$B$24:$B$84</c:f>
              <c:numCache>
                <c:formatCode>General</c:formatCode>
                <c:ptCount val="6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  <c:pt idx="47">
                  <c:v>245</c:v>
                </c:pt>
                <c:pt idx="48">
                  <c:v>250</c:v>
                </c:pt>
                <c:pt idx="49">
                  <c:v>255</c:v>
                </c:pt>
                <c:pt idx="50">
                  <c:v>260</c:v>
                </c:pt>
                <c:pt idx="51">
                  <c:v>265</c:v>
                </c:pt>
                <c:pt idx="52">
                  <c:v>270</c:v>
                </c:pt>
                <c:pt idx="53">
                  <c:v>275</c:v>
                </c:pt>
                <c:pt idx="54">
                  <c:v>280</c:v>
                </c:pt>
                <c:pt idx="55">
                  <c:v>285</c:v>
                </c:pt>
                <c:pt idx="56">
                  <c:v>290</c:v>
                </c:pt>
                <c:pt idx="57">
                  <c:v>295</c:v>
                </c:pt>
                <c:pt idx="58">
                  <c:v>300</c:v>
                </c:pt>
                <c:pt idx="59">
                  <c:v>305</c:v>
                </c:pt>
                <c:pt idx="60">
                  <c:v>310</c:v>
                </c:pt>
              </c:numCache>
            </c:numRef>
          </c:cat>
          <c:val>
            <c:numRef>
              <c:f>'Диаграмма рассеяния'!$C$24:$C$84</c:f>
              <c:numCache>
                <c:formatCode>0.000</c:formatCode>
                <c:ptCount val="61"/>
                <c:pt idx="0">
                  <c:v>88.862866116531904</c:v>
                </c:pt>
                <c:pt idx="1">
                  <c:v>47.012388134725924</c:v>
                </c:pt>
                <c:pt idx="2">
                  <c:v>251.1600380945527</c:v>
                </c:pt>
                <c:pt idx="3">
                  <c:v>30.963202117293292</c:v>
                </c:pt>
                <c:pt idx="4">
                  <c:v>270.24676115036306</c:v>
                </c:pt>
                <c:pt idx="5">
                  <c:v>229.17210946189493</c:v>
                </c:pt>
                <c:pt idx="6">
                  <c:v>242.90035637162802</c:v>
                </c:pt>
                <c:pt idx="7">
                  <c:v>290.80108472018736</c:v>
                </c:pt>
                <c:pt idx="8">
                  <c:v>424.80320299358942</c:v>
                </c:pt>
                <c:pt idx="9">
                  <c:v>108.55373538466083</c:v>
                </c:pt>
                <c:pt idx="10">
                  <c:v>233.1170475684809</c:v>
                </c:pt>
                <c:pt idx="11">
                  <c:v>330.62913344803286</c:v>
                </c:pt>
                <c:pt idx="12">
                  <c:v>361.11444224548211</c:v>
                </c:pt>
                <c:pt idx="13">
                  <c:v>201.19328043559568</c:v>
                </c:pt>
                <c:pt idx="14">
                  <c:v>464.07140961706824</c:v>
                </c:pt>
                <c:pt idx="15">
                  <c:v>579.14685415480631</c:v>
                </c:pt>
                <c:pt idx="16">
                  <c:v>635.24920972038785</c:v>
                </c:pt>
                <c:pt idx="17">
                  <c:v>283.76598217248187</c:v>
                </c:pt>
                <c:pt idx="18">
                  <c:v>602.82209872923488</c:v>
                </c:pt>
                <c:pt idx="19">
                  <c:v>291.03991466733356</c:v>
                </c:pt>
                <c:pt idx="20">
                  <c:v>281.16893742305444</c:v>
                </c:pt>
                <c:pt idx="21">
                  <c:v>352.14079198089843</c:v>
                </c:pt>
                <c:pt idx="22">
                  <c:v>422.03767174040337</c:v>
                </c:pt>
                <c:pt idx="23">
                  <c:v>266.48600516068632</c:v>
                </c:pt>
                <c:pt idx="24">
                  <c:v>548.90950918538545</c:v>
                </c:pt>
                <c:pt idx="25">
                  <c:v>558.87248347608931</c:v>
                </c:pt>
                <c:pt idx="26">
                  <c:v>339.9731507992521</c:v>
                </c:pt>
                <c:pt idx="27">
                  <c:v>596.59088413494931</c:v>
                </c:pt>
                <c:pt idx="28">
                  <c:v>513.4879363511136</c:v>
                </c:pt>
                <c:pt idx="29">
                  <c:v>554.79239448578187</c:v>
                </c:pt>
                <c:pt idx="30">
                  <c:v>700.57148061705107</c:v>
                </c:pt>
                <c:pt idx="31">
                  <c:v>455.76783337792227</c:v>
                </c:pt>
                <c:pt idx="32">
                  <c:v>384.52223829680088</c:v>
                </c:pt>
                <c:pt idx="33">
                  <c:v>709.78086270173287</c:v>
                </c:pt>
                <c:pt idx="34">
                  <c:v>645.06089653585798</c:v>
                </c:pt>
                <c:pt idx="35">
                  <c:v>788.99356300623583</c:v>
                </c:pt>
                <c:pt idx="36">
                  <c:v>834.13986449241963</c:v>
                </c:pt>
                <c:pt idx="37">
                  <c:v>668.44035408557806</c:v>
                </c:pt>
                <c:pt idx="38">
                  <c:v>584.27355527254156</c:v>
                </c:pt>
                <c:pt idx="39">
                  <c:v>848.51080810791882</c:v>
                </c:pt>
                <c:pt idx="40">
                  <c:v>580.45948012044073</c:v>
                </c:pt>
                <c:pt idx="41">
                  <c:v>756.59519960871262</c:v>
                </c:pt>
                <c:pt idx="42">
                  <c:v>894.39362383638024</c:v>
                </c:pt>
                <c:pt idx="43">
                  <c:v>838.03161073585773</c:v>
                </c:pt>
                <c:pt idx="44">
                  <c:v>648.69205528562088</c:v>
                </c:pt>
                <c:pt idx="45">
                  <c:v>836.47727533980685</c:v>
                </c:pt>
                <c:pt idx="46">
                  <c:v>762.69879582195415</c:v>
                </c:pt>
                <c:pt idx="47">
                  <c:v>605.56832095296068</c:v>
                </c:pt>
                <c:pt idx="48">
                  <c:v>840.11456726199037</c:v>
                </c:pt>
                <c:pt idx="49">
                  <c:v>955.88889979718965</c:v>
                </c:pt>
                <c:pt idx="50">
                  <c:v>1011.4160022703484</c:v>
                </c:pt>
                <c:pt idx="51">
                  <c:v>934.50202402706577</c:v>
                </c:pt>
                <c:pt idx="52">
                  <c:v>969.95138694187892</c:v>
                </c:pt>
                <c:pt idx="53">
                  <c:v>1066.2509626897208</c:v>
                </c:pt>
                <c:pt idx="54">
                  <c:v>889.90470469977527</c:v>
                </c:pt>
                <c:pt idx="55">
                  <c:v>1100.8815306674619</c:v>
                </c:pt>
                <c:pt idx="56">
                  <c:v>833.08327843162147</c:v>
                </c:pt>
                <c:pt idx="57">
                  <c:v>1158.4955453083955</c:v>
                </c:pt>
                <c:pt idx="58">
                  <c:v>840.56547156471947</c:v>
                </c:pt>
                <c:pt idx="59">
                  <c:v>725.07901592441374</c:v>
                </c:pt>
                <c:pt idx="60">
                  <c:v>1188.8917878713116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D-4120-94B2-FDEF287A1EE4}"/>
            </c:ext>
          </c:extLst>
        </c:ser>
        <c:ser>
          <c:idx val="2"/>
          <c:order val="2"/>
          <c:tx>
            <c:strRef>
              <c:f>'Диаграмма рассеяния'!$R$23</c:f>
              <c:strCache>
                <c:ptCount val="1"/>
                <c:pt idx="0">
                  <c:v>Y линия регрессии</c:v>
                </c:pt>
              </c:strCache>
            </c:strRef>
          </c:tx>
          <c:marker>
            <c:symbol val="none"/>
          </c:marker>
          <c:val>
            <c:numRef>
              <c:f>'Диаграмма рассеяния'!$R$24:$R$84</c:f>
              <c:numCache>
                <c:formatCode>General</c:formatCode>
                <c:ptCount val="61"/>
                <c:pt idx="0" formatCode="0.000">
                  <c:v>133.96130627792581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 formatCode="0.000">
                  <c:v>1028.6317388923571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D-4120-94B2-FDEF287A1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52128"/>
        <c:axId val="136900992"/>
      </c:lineChart>
      <c:catAx>
        <c:axId val="1275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900992"/>
        <c:crosses val="autoZero"/>
        <c:auto val="1"/>
        <c:lblAlgn val="ctr"/>
        <c:lblOffset val="100"/>
        <c:tickMarkSkip val="1"/>
        <c:noMultiLvlLbl val="0"/>
      </c:catAx>
      <c:valAx>
        <c:axId val="1369009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2755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Интервалы!$A$4</c:f>
          <c:strCache>
            <c:ptCount val="1"/>
            <c:pt idx="0">
              <c:v>Доверительные интервалы для нового наблюдения Y и среднего значения</c:v>
            </c:pt>
          </c:strCache>
        </c:strRef>
      </c:tx>
      <c:layout>
        <c:manualLayout>
          <c:xMode val="edge"/>
          <c:yMode val="edge"/>
          <c:x val="0.17591999999999999"/>
          <c:y val="1.0695074880345838E-2"/>
        </c:manualLayout>
      </c:layout>
      <c:overlay val="0"/>
      <c:txPr>
        <a:bodyPr/>
        <a:lstStyle/>
        <a:p>
          <a:pPr algn="ctr"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1177855602290816"/>
          <c:w val="0.85994710661167351"/>
          <c:h val="0.67159115748829268"/>
        </c:manualLayout>
      </c:layout>
      <c:scatterChart>
        <c:scatterStyle val="lineMarker"/>
        <c:varyColors val="0"/>
        <c:ser>
          <c:idx val="1"/>
          <c:order val="0"/>
          <c:tx>
            <c:strRef>
              <c:f>Интервалы!$C$22</c:f>
              <c:strCache>
                <c:ptCount val="1"/>
                <c:pt idx="0">
                  <c:v>Y(i)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Интервалы!$B$53:$B$113</c:f>
              <c:numCache>
                <c:formatCode>General</c:formatCode>
                <c:ptCount val="61"/>
                <c:pt idx="0">
                  <c:v>400</c:v>
                </c:pt>
                <c:pt idx="1">
                  <c:v>410</c:v>
                </c:pt>
                <c:pt idx="2">
                  <c:v>420</c:v>
                </c:pt>
                <c:pt idx="3">
                  <c:v>430</c:v>
                </c:pt>
                <c:pt idx="4">
                  <c:v>440</c:v>
                </c:pt>
                <c:pt idx="5">
                  <c:v>450</c:v>
                </c:pt>
                <c:pt idx="6">
                  <c:v>460</c:v>
                </c:pt>
                <c:pt idx="7">
                  <c:v>470</c:v>
                </c:pt>
                <c:pt idx="8">
                  <c:v>480</c:v>
                </c:pt>
                <c:pt idx="9">
                  <c:v>490</c:v>
                </c:pt>
                <c:pt idx="10">
                  <c:v>500</c:v>
                </c:pt>
                <c:pt idx="11">
                  <c:v>510</c:v>
                </c:pt>
                <c:pt idx="12">
                  <c:v>520</c:v>
                </c:pt>
                <c:pt idx="13">
                  <c:v>530</c:v>
                </c:pt>
                <c:pt idx="14">
                  <c:v>540</c:v>
                </c:pt>
                <c:pt idx="15">
                  <c:v>550</c:v>
                </c:pt>
                <c:pt idx="16">
                  <c:v>560</c:v>
                </c:pt>
                <c:pt idx="17">
                  <c:v>570</c:v>
                </c:pt>
                <c:pt idx="18">
                  <c:v>580</c:v>
                </c:pt>
                <c:pt idx="19">
                  <c:v>590</c:v>
                </c:pt>
                <c:pt idx="20">
                  <c:v>600</c:v>
                </c:pt>
                <c:pt idx="21">
                  <c:v>610</c:v>
                </c:pt>
                <c:pt idx="22">
                  <c:v>620</c:v>
                </c:pt>
                <c:pt idx="23">
                  <c:v>630</c:v>
                </c:pt>
                <c:pt idx="24">
                  <c:v>640</c:v>
                </c:pt>
                <c:pt idx="25">
                  <c:v>650</c:v>
                </c:pt>
                <c:pt idx="26">
                  <c:v>660</c:v>
                </c:pt>
                <c:pt idx="27">
                  <c:v>670</c:v>
                </c:pt>
                <c:pt idx="28">
                  <c:v>680</c:v>
                </c:pt>
                <c:pt idx="29">
                  <c:v>690</c:v>
                </c:pt>
                <c:pt idx="30">
                  <c:v>700</c:v>
                </c:pt>
                <c:pt idx="31">
                  <c:v>710</c:v>
                </c:pt>
                <c:pt idx="32">
                  <c:v>720</c:v>
                </c:pt>
                <c:pt idx="33">
                  <c:v>730</c:v>
                </c:pt>
                <c:pt idx="34">
                  <c:v>740</c:v>
                </c:pt>
                <c:pt idx="35">
                  <c:v>750</c:v>
                </c:pt>
                <c:pt idx="36">
                  <c:v>760</c:v>
                </c:pt>
                <c:pt idx="37">
                  <c:v>770</c:v>
                </c:pt>
                <c:pt idx="38">
                  <c:v>780</c:v>
                </c:pt>
                <c:pt idx="39">
                  <c:v>790</c:v>
                </c:pt>
                <c:pt idx="40">
                  <c:v>800</c:v>
                </c:pt>
                <c:pt idx="41">
                  <c:v>810</c:v>
                </c:pt>
                <c:pt idx="42">
                  <c:v>820</c:v>
                </c:pt>
                <c:pt idx="43">
                  <c:v>830</c:v>
                </c:pt>
                <c:pt idx="44">
                  <c:v>840</c:v>
                </c:pt>
                <c:pt idx="45">
                  <c:v>850</c:v>
                </c:pt>
                <c:pt idx="46">
                  <c:v>860</c:v>
                </c:pt>
                <c:pt idx="47">
                  <c:v>870</c:v>
                </c:pt>
                <c:pt idx="48">
                  <c:v>880</c:v>
                </c:pt>
                <c:pt idx="49">
                  <c:v>890</c:v>
                </c:pt>
                <c:pt idx="50">
                  <c:v>900</c:v>
                </c:pt>
                <c:pt idx="51">
                  <c:v>910</c:v>
                </c:pt>
                <c:pt idx="52">
                  <c:v>920</c:v>
                </c:pt>
                <c:pt idx="53">
                  <c:v>930</c:v>
                </c:pt>
                <c:pt idx="54">
                  <c:v>940</c:v>
                </c:pt>
                <c:pt idx="55">
                  <c:v>950</c:v>
                </c:pt>
                <c:pt idx="56">
                  <c:v>960</c:v>
                </c:pt>
                <c:pt idx="57">
                  <c:v>970</c:v>
                </c:pt>
                <c:pt idx="58">
                  <c:v>980</c:v>
                </c:pt>
                <c:pt idx="59">
                  <c:v>990</c:v>
                </c:pt>
                <c:pt idx="60">
                  <c:v>1000</c:v>
                </c:pt>
              </c:numCache>
            </c:numRef>
          </c:xVal>
          <c:yVal>
            <c:numRef>
              <c:f>Интервалы!$C$53:$C$113</c:f>
              <c:numCache>
                <c:formatCode>0.000</c:formatCode>
                <c:ptCount val="61"/>
                <c:pt idx="0">
                  <c:v>1168.8267782336784</c:v>
                </c:pt>
                <c:pt idx="1">
                  <c:v>2320.9141116345641</c:v>
                </c:pt>
                <c:pt idx="2">
                  <c:v>1659.9298519597521</c:v>
                </c:pt>
                <c:pt idx="3">
                  <c:v>1475.7518647043148</c:v>
                </c:pt>
                <c:pt idx="4">
                  <c:v>1749.3909327708116</c:v>
                </c:pt>
                <c:pt idx="5">
                  <c:v>1543.7518198086364</c:v>
                </c:pt>
                <c:pt idx="6">
                  <c:v>2397.2349769546354</c:v>
                </c:pt>
                <c:pt idx="7">
                  <c:v>2136.2440661927299</c:v>
                </c:pt>
                <c:pt idx="8">
                  <c:v>1133.2137613135201</c:v>
                </c:pt>
                <c:pt idx="9">
                  <c:v>2452.3202787611722</c:v>
                </c:pt>
                <c:pt idx="10">
                  <c:v>1523.505921437692</c:v>
                </c:pt>
                <c:pt idx="11">
                  <c:v>2511.8371190784615</c:v>
                </c:pt>
                <c:pt idx="12">
                  <c:v>1468.8982578124374</c:v>
                </c:pt>
                <c:pt idx="13">
                  <c:v>1757.3030415246344</c:v>
                </c:pt>
                <c:pt idx="14">
                  <c:v>2323.5721357141474</c:v>
                </c:pt>
                <c:pt idx="15">
                  <c:v>2450.3347038428401</c:v>
                </c:pt>
                <c:pt idx="16">
                  <c:v>1618.1702653837306</c:v>
                </c:pt>
                <c:pt idx="17">
                  <c:v>3303.8815551093785</c:v>
                </c:pt>
                <c:pt idx="18">
                  <c:v>2411.4037363647149</c:v>
                </c:pt>
                <c:pt idx="19">
                  <c:v>1578.4798921525344</c:v>
                </c:pt>
                <c:pt idx="20">
                  <c:v>3020.3641539047771</c:v>
                </c:pt>
                <c:pt idx="21">
                  <c:v>1995.2347447464642</c:v>
                </c:pt>
                <c:pt idx="22">
                  <c:v>2773.6555736099308</c:v>
                </c:pt>
                <c:pt idx="23">
                  <c:v>1561.5008056185511</c:v>
                </c:pt>
                <c:pt idx="24">
                  <c:v>2228.0276699236042</c:v>
                </c:pt>
                <c:pt idx="25">
                  <c:v>3119.2167083016957</c:v>
                </c:pt>
                <c:pt idx="26">
                  <c:v>2817.6400369979633</c:v>
                </c:pt>
                <c:pt idx="27">
                  <c:v>2823.8606378230797</c:v>
                </c:pt>
                <c:pt idx="28">
                  <c:v>2560.4815020768956</c:v>
                </c:pt>
                <c:pt idx="29">
                  <c:v>2885.5155116884011</c:v>
                </c:pt>
                <c:pt idx="30">
                  <c:v>2231.638421829326</c:v>
                </c:pt>
                <c:pt idx="31">
                  <c:v>1580.5301206913909</c:v>
                </c:pt>
                <c:pt idx="32">
                  <c:v>2308.8190730995011</c:v>
                </c:pt>
                <c:pt idx="33">
                  <c:v>2730.8171316911062</c:v>
                </c:pt>
                <c:pt idx="34">
                  <c:v>2501.6776187313412</c:v>
                </c:pt>
                <c:pt idx="35">
                  <c:v>2193.4278930705532</c:v>
                </c:pt>
                <c:pt idx="36">
                  <c:v>2948.2452398421697</c:v>
                </c:pt>
                <c:pt idx="37">
                  <c:v>1684.5369684473533</c:v>
                </c:pt>
                <c:pt idx="38">
                  <c:v>2134.8986237192071</c:v>
                </c:pt>
                <c:pt idx="39">
                  <c:v>2439.3776776337581</c:v>
                </c:pt>
                <c:pt idx="40">
                  <c:v>2173.5061560319527</c:v>
                </c:pt>
                <c:pt idx="41">
                  <c:v>3006.4506867841897</c:v>
                </c:pt>
                <c:pt idx="42">
                  <c:v>2828.0876801492645</c:v>
                </c:pt>
                <c:pt idx="43">
                  <c:v>2581.9385201043801</c:v>
                </c:pt>
                <c:pt idx="44">
                  <c:v>2402.1603899607053</c:v>
                </c:pt>
                <c:pt idx="45">
                  <c:v>2520.4958694728748</c:v>
                </c:pt>
                <c:pt idx="46">
                  <c:v>2978.5354217694239</c:v>
                </c:pt>
                <c:pt idx="47">
                  <c:v>3028.9827602462187</c:v>
                </c:pt>
                <c:pt idx="48">
                  <c:v>2511.6229221323829</c:v>
                </c:pt>
                <c:pt idx="49">
                  <c:v>2171.7840591292488</c:v>
                </c:pt>
                <c:pt idx="50">
                  <c:v>2844.4643774472788</c:v>
                </c:pt>
                <c:pt idx="51">
                  <c:v>2727.8738649453071</c:v>
                </c:pt>
                <c:pt idx="52">
                  <c:v>3370.5552934264138</c:v>
                </c:pt>
                <c:pt idx="53">
                  <c:v>2486.888185817706</c:v>
                </c:pt>
                <c:pt idx="54">
                  <c:v>2934.8693219428087</c:v>
                </c:pt>
                <c:pt idx="55">
                  <c:v>3190.614578073466</c:v>
                </c:pt>
                <c:pt idx="56">
                  <c:v>2683.2168934621623</c:v>
                </c:pt>
                <c:pt idx="57">
                  <c:v>3844.6661453510105</c:v>
                </c:pt>
                <c:pt idx="58">
                  <c:v>3298.8263754429472</c:v>
                </c:pt>
                <c:pt idx="59">
                  <c:v>2359.3458770197135</c:v>
                </c:pt>
                <c:pt idx="60">
                  <c:v>2775.868091539357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54-4B9F-8C65-1E3A35FFAAC8}"/>
            </c:ext>
          </c:extLst>
        </c:ser>
        <c:ser>
          <c:idx val="2"/>
          <c:order val="1"/>
          <c:tx>
            <c:strRef>
              <c:f>Интервалы!$N$22</c:f>
              <c:strCache>
                <c:ptCount val="1"/>
                <c:pt idx="0">
                  <c:v>Y линия регрессии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Интервалы!$N$23:$N$24</c:f>
              <c:numCache>
                <c:formatCode>General</c:formatCode>
                <c:ptCount val="2"/>
                <c:pt idx="0">
                  <c:v>100</c:v>
                </c:pt>
                <c:pt idx="1">
                  <c:v>1300</c:v>
                </c:pt>
              </c:numCache>
            </c:numRef>
          </c:xVal>
          <c:yVal>
            <c:numRef>
              <c:f>Интервалы!$O$23:$O$24</c:f>
              <c:numCache>
                <c:formatCode>0.000</c:formatCode>
                <c:ptCount val="2"/>
                <c:pt idx="0">
                  <c:v>1184.1363187758598</c:v>
                </c:pt>
                <c:pt idx="1">
                  <c:v>3610.7877682552971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54-4B9F-8C65-1E3A35FFAAC8}"/>
            </c:ext>
          </c:extLst>
        </c:ser>
        <c:ser>
          <c:idx val="0"/>
          <c:order val="2"/>
          <c:tx>
            <c:strRef>
              <c:f>Интервалы!$G$21</c:f>
              <c:strCache>
                <c:ptCount val="1"/>
                <c:pt idx="0">
                  <c:v>Доверит. интервал для нового наблюдения Y|Xi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Интервалы!$B$23:$B$143</c:f>
              <c:numCache>
                <c:formatCode>General</c:formatCode>
                <c:ptCount val="12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  <c:pt idx="51">
                  <c:v>610</c:v>
                </c:pt>
                <c:pt idx="52">
                  <c:v>620</c:v>
                </c:pt>
                <c:pt idx="53">
                  <c:v>630</c:v>
                </c:pt>
                <c:pt idx="54">
                  <c:v>640</c:v>
                </c:pt>
                <c:pt idx="55">
                  <c:v>650</c:v>
                </c:pt>
                <c:pt idx="56">
                  <c:v>660</c:v>
                </c:pt>
                <c:pt idx="57">
                  <c:v>670</c:v>
                </c:pt>
                <c:pt idx="58">
                  <c:v>680</c:v>
                </c:pt>
                <c:pt idx="59">
                  <c:v>690</c:v>
                </c:pt>
                <c:pt idx="60">
                  <c:v>700</c:v>
                </c:pt>
                <c:pt idx="61">
                  <c:v>710</c:v>
                </c:pt>
                <c:pt idx="62">
                  <c:v>720</c:v>
                </c:pt>
                <c:pt idx="63">
                  <c:v>730</c:v>
                </c:pt>
                <c:pt idx="64">
                  <c:v>740</c:v>
                </c:pt>
                <c:pt idx="65">
                  <c:v>750</c:v>
                </c:pt>
                <c:pt idx="66">
                  <c:v>760</c:v>
                </c:pt>
                <c:pt idx="67">
                  <c:v>770</c:v>
                </c:pt>
                <c:pt idx="68">
                  <c:v>780</c:v>
                </c:pt>
                <c:pt idx="69">
                  <c:v>790</c:v>
                </c:pt>
                <c:pt idx="70">
                  <c:v>800</c:v>
                </c:pt>
                <c:pt idx="71">
                  <c:v>810</c:v>
                </c:pt>
                <c:pt idx="72">
                  <c:v>820</c:v>
                </c:pt>
                <c:pt idx="73">
                  <c:v>830</c:v>
                </c:pt>
                <c:pt idx="74">
                  <c:v>840</c:v>
                </c:pt>
                <c:pt idx="75">
                  <c:v>850</c:v>
                </c:pt>
                <c:pt idx="76">
                  <c:v>860</c:v>
                </c:pt>
                <c:pt idx="77">
                  <c:v>870</c:v>
                </c:pt>
                <c:pt idx="78">
                  <c:v>880</c:v>
                </c:pt>
                <c:pt idx="79">
                  <c:v>890</c:v>
                </c:pt>
                <c:pt idx="80">
                  <c:v>900</c:v>
                </c:pt>
                <c:pt idx="81">
                  <c:v>910</c:v>
                </c:pt>
                <c:pt idx="82">
                  <c:v>920</c:v>
                </c:pt>
                <c:pt idx="83">
                  <c:v>930</c:v>
                </c:pt>
                <c:pt idx="84">
                  <c:v>940</c:v>
                </c:pt>
                <c:pt idx="85">
                  <c:v>950</c:v>
                </c:pt>
                <c:pt idx="86">
                  <c:v>960</c:v>
                </c:pt>
                <c:pt idx="87">
                  <c:v>970</c:v>
                </c:pt>
                <c:pt idx="88">
                  <c:v>980</c:v>
                </c:pt>
                <c:pt idx="89">
                  <c:v>990</c:v>
                </c:pt>
                <c:pt idx="90">
                  <c:v>1000</c:v>
                </c:pt>
                <c:pt idx="91">
                  <c:v>1010</c:v>
                </c:pt>
                <c:pt idx="92">
                  <c:v>1020</c:v>
                </c:pt>
                <c:pt idx="93">
                  <c:v>1030</c:v>
                </c:pt>
                <c:pt idx="94">
                  <c:v>1040</c:v>
                </c:pt>
                <c:pt idx="95">
                  <c:v>1050</c:v>
                </c:pt>
                <c:pt idx="96">
                  <c:v>1060</c:v>
                </c:pt>
                <c:pt idx="97">
                  <c:v>1070</c:v>
                </c:pt>
                <c:pt idx="98">
                  <c:v>1080</c:v>
                </c:pt>
                <c:pt idx="99">
                  <c:v>1090</c:v>
                </c:pt>
                <c:pt idx="100">
                  <c:v>1100</c:v>
                </c:pt>
                <c:pt idx="101">
                  <c:v>1110</c:v>
                </c:pt>
                <c:pt idx="102">
                  <c:v>1120</c:v>
                </c:pt>
                <c:pt idx="103">
                  <c:v>1130</c:v>
                </c:pt>
                <c:pt idx="104">
                  <c:v>1140</c:v>
                </c:pt>
                <c:pt idx="105">
                  <c:v>1150</c:v>
                </c:pt>
                <c:pt idx="106">
                  <c:v>1160</c:v>
                </c:pt>
                <c:pt idx="107">
                  <c:v>1170</c:v>
                </c:pt>
                <c:pt idx="108">
                  <c:v>1180</c:v>
                </c:pt>
                <c:pt idx="109">
                  <c:v>1190</c:v>
                </c:pt>
                <c:pt idx="110">
                  <c:v>1200</c:v>
                </c:pt>
                <c:pt idx="111">
                  <c:v>1210</c:v>
                </c:pt>
                <c:pt idx="112">
                  <c:v>1220</c:v>
                </c:pt>
                <c:pt idx="113">
                  <c:v>1230</c:v>
                </c:pt>
                <c:pt idx="114">
                  <c:v>1240</c:v>
                </c:pt>
                <c:pt idx="115">
                  <c:v>1250</c:v>
                </c:pt>
                <c:pt idx="116">
                  <c:v>1260</c:v>
                </c:pt>
                <c:pt idx="117">
                  <c:v>1270</c:v>
                </c:pt>
                <c:pt idx="118">
                  <c:v>1280</c:v>
                </c:pt>
                <c:pt idx="119">
                  <c:v>1290</c:v>
                </c:pt>
                <c:pt idx="120">
                  <c:v>1300</c:v>
                </c:pt>
              </c:numCache>
            </c:numRef>
          </c:xVal>
          <c:yVal>
            <c:numRef>
              <c:f>Интервалы!$F$23:$F$143</c:f>
              <c:numCache>
                <c:formatCode>0.00</c:formatCode>
                <c:ptCount val="121"/>
                <c:pt idx="0">
                  <c:v>2225.1999110794122</c:v>
                </c:pt>
                <c:pt idx="1">
                  <c:v>2242.7040288726607</c:v>
                </c:pt>
                <c:pt idx="2">
                  <c:v>2260.2468728069789</c:v>
                </c:pt>
                <c:pt idx="3">
                  <c:v>2277.8287442021947</c:v>
                </c:pt>
                <c:pt idx="4">
                  <c:v>2295.4499430546102</c:v>
                </c:pt>
                <c:pt idx="5">
                  <c:v>2313.1107679056659</c:v>
                </c:pt>
                <c:pt idx="6">
                  <c:v>2330.8115157085422</c:v>
                </c:pt>
                <c:pt idx="7">
                  <c:v>2348.5524816928123</c:v>
                </c:pt>
                <c:pt idx="8">
                  <c:v>2366.3339592272114</c:v>
                </c:pt>
                <c:pt idx="9">
                  <c:v>2384.1562396806462</c:v>
                </c:pt>
                <c:pt idx="10">
                  <c:v>2402.019612281531</c:v>
                </c:pt>
                <c:pt idx="11">
                  <c:v>2419.9243639755741</c:v>
                </c:pt>
                <c:pt idx="12">
                  <c:v>2437.8707792821265</c:v>
                </c:pt>
                <c:pt idx="13">
                  <c:v>2455.8591401492158</c:v>
                </c:pt>
                <c:pt idx="14">
                  <c:v>2473.8897258073962</c:v>
                </c:pt>
                <c:pt idx="15">
                  <c:v>2491.962812622548</c:v>
                </c:pt>
                <c:pt idx="16">
                  <c:v>2510.0786739477708</c:v>
                </c:pt>
                <c:pt idx="17">
                  <c:v>2528.2375799745087</c:v>
                </c:pt>
                <c:pt idx="18">
                  <c:v>2546.4397975830711</c:v>
                </c:pt>
                <c:pt idx="19">
                  <c:v>2564.6855901926915</c:v>
                </c:pt>
                <c:pt idx="20">
                  <c:v>2582.9752176113006</c:v>
                </c:pt>
                <c:pt idx="21">
                  <c:v>2601.3089358851685</c:v>
                </c:pt>
                <c:pt idx="22">
                  <c:v>2619.6869971485958</c:v>
                </c:pt>
                <c:pt idx="23">
                  <c:v>2638.1096494738258</c:v>
                </c:pt>
                <c:pt idx="24">
                  <c:v>2656.5771367213542</c:v>
                </c:pt>
                <c:pt idx="25">
                  <c:v>2675.0896983908292</c:v>
                </c:pt>
                <c:pt idx="26">
                  <c:v>2693.6475694727178</c:v>
                </c:pt>
                <c:pt idx="27">
                  <c:v>2712.2509803009375</c:v>
                </c:pt>
                <c:pt idx="28">
                  <c:v>2730.9001564066411</c:v>
                </c:pt>
                <c:pt idx="29">
                  <c:v>2749.5953183733509</c:v>
                </c:pt>
                <c:pt idx="30">
                  <c:v>2768.3366816936386</c:v>
                </c:pt>
                <c:pt idx="31">
                  <c:v>2787.1244566275545</c:v>
                </c:pt>
                <c:pt idx="32">
                  <c:v>2805.9588480629959</c:v>
                </c:pt>
                <c:pt idx="33">
                  <c:v>2824.8400553782249</c:v>
                </c:pt>
                <c:pt idx="34">
                  <c:v>2843.7682723067296</c:v>
                </c:pt>
                <c:pt idx="35">
                  <c:v>2862.7436868046316</c:v>
                </c:pt>
                <c:pt idx="36">
                  <c:v>2881.76648092084</c:v>
                </c:pt>
                <c:pt idx="37">
                  <c:v>2900.8368306701436</c:v>
                </c:pt>
                <c:pt idx="38">
                  <c:v>2919.9549059094484</c:v>
                </c:pt>
                <c:pt idx="39">
                  <c:v>2939.1208702173426</c:v>
                </c:pt>
                <c:pt idx="40">
                  <c:v>2958.334880777189</c:v>
                </c:pt>
                <c:pt idx="41">
                  <c:v>2977.597088263924</c:v>
                </c:pt>
                <c:pt idx="42">
                  <c:v>2996.9076367347575</c:v>
                </c:pt>
                <c:pt idx="43">
                  <c:v>3016.266663523942</c:v>
                </c:pt>
                <c:pt idx="44">
                  <c:v>3035.6742991417927</c:v>
                </c:pt>
                <c:pt idx="45">
                  <c:v>3055.1306671781222</c:v>
                </c:pt>
                <c:pt idx="46">
                  <c:v>3074.63588421026</c:v>
                </c:pt>
                <c:pt idx="47">
                  <c:v>3094.1900597158033</c:v>
                </c:pt>
                <c:pt idx="48">
                  <c:v>3113.7932959902591</c:v>
                </c:pt>
                <c:pt idx="49">
                  <c:v>3133.4456880697112</c:v>
                </c:pt>
                <c:pt idx="50">
                  <c:v>3153.1473236586535</c:v>
                </c:pt>
                <c:pt idx="51">
                  <c:v>3172.8982830631121</c:v>
                </c:pt>
                <c:pt idx="52">
                  <c:v>3192.6986391291753</c:v>
                </c:pt>
                <c:pt idx="53">
                  <c:v>3212.5484571870393</c:v>
                </c:pt>
                <c:pt idx="54">
                  <c:v>3232.4477950006703</c:v>
                </c:pt>
                <c:pt idx="55">
                  <c:v>3252.3967027231756</c:v>
                </c:pt>
                <c:pt idx="56">
                  <c:v>3272.395222857956</c:v>
                </c:pt>
                <c:pt idx="57">
                  <c:v>3292.4433902257197</c:v>
                </c:pt>
                <c:pt idx="58">
                  <c:v>3312.5412319374095</c:v>
                </c:pt>
                <c:pt idx="59">
                  <c:v>3332.6887673730926</c:v>
                </c:pt>
                <c:pt idx="60">
                  <c:v>3352.8860081668595</c:v>
                </c:pt>
                <c:pt idx="61">
                  <c:v>3373.1329581977498</c:v>
                </c:pt>
                <c:pt idx="62">
                  <c:v>3393.4296135867239</c:v>
                </c:pt>
                <c:pt idx="63">
                  <c:v>3413.7759626996913</c:v>
                </c:pt>
                <c:pt idx="64">
                  <c:v>3434.1719861565848</c:v>
                </c:pt>
                <c:pt idx="65">
                  <c:v>3454.6176568464616</c:v>
                </c:pt>
                <c:pt idx="66">
                  <c:v>3475.1129399486135</c:v>
                </c:pt>
                <c:pt idx="67">
                  <c:v>3495.6577929596397</c:v>
                </c:pt>
                <c:pt idx="68">
                  <c:v>3516.2521657264338</c:v>
                </c:pt>
                <c:pt idx="69">
                  <c:v>3536.8960004850278</c:v>
                </c:pt>
                <c:pt idx="70">
                  <c:v>3557.5892319052264</c:v>
                </c:pt>
                <c:pt idx="71">
                  <c:v>3578.3317871409413</c:v>
                </c:pt>
                <c:pt idx="72">
                  <c:v>3599.1235858861464</c:v>
                </c:pt>
                <c:pt idx="73">
                  <c:v>3619.9645404363487</c:v>
                </c:pt>
                <c:pt idx="74">
                  <c:v>3640.8545557554626</c:v>
                </c:pt>
                <c:pt idx="75">
                  <c:v>3661.793529547982</c:v>
                </c:pt>
                <c:pt idx="76">
                  <c:v>3682.7813523363097</c:v>
                </c:pt>
                <c:pt idx="77">
                  <c:v>3703.8179075431162</c:v>
                </c:pt>
                <c:pt idx="78">
                  <c:v>3724.9030715785889</c:v>
                </c:pt>
                <c:pt idx="79">
                  <c:v>3746.0367139324126</c:v>
                </c:pt>
                <c:pt idx="80">
                  <c:v>3767.2186972703348</c:v>
                </c:pt>
                <c:pt idx="81">
                  <c:v>3788.4488775351456</c:v>
                </c:pt>
                <c:pt idx="82">
                  <c:v>3809.7271040519086</c:v>
                </c:pt>
                <c:pt idx="83">
                  <c:v>3831.053219637261</c:v>
                </c:pt>
                <c:pt idx="84">
                  <c:v>3852.4270607126145</c:v>
                </c:pt>
                <c:pt idx="85">
                  <c:v>3873.8484574210638</c:v>
                </c:pt>
                <c:pt idx="86">
                  <c:v>3895.317233747819</c:v>
                </c:pt>
                <c:pt idx="87">
                  <c:v>3916.8332076439715</c:v>
                </c:pt>
                <c:pt idx="88">
                  <c:v>3938.3961911534002</c:v>
                </c:pt>
                <c:pt idx="89">
                  <c:v>3960.005990542616</c:v>
                </c:pt>
                <c:pt idx="90">
                  <c:v>3981.6624064333573</c:v>
                </c:pt>
                <c:pt idx="91">
                  <c:v>4003.3652339377268</c:v>
                </c:pt>
                <c:pt idx="92">
                  <c:v>4025.1142627956742</c:v>
                </c:pt>
                <c:pt idx="93">
                  <c:v>4046.9092775146278</c:v>
                </c:pt>
                <c:pt idx="94">
                  <c:v>4068.7500575110653</c:v>
                </c:pt>
                <c:pt idx="95">
                  <c:v>4090.6363772538339</c:v>
                </c:pt>
                <c:pt idx="96">
                  <c:v>4112.5680064090166</c:v>
                </c:pt>
                <c:pt idx="97">
                  <c:v>4134.5447099861458</c:v>
                </c:pt>
                <c:pt idx="98">
                  <c:v>4156.5662484855729</c:v>
                </c:pt>
                <c:pt idx="99">
                  <c:v>4178.6323780468028</c:v>
                </c:pt>
                <c:pt idx="100">
                  <c:v>4200.7428505975922</c:v>
                </c:pt>
                <c:pt idx="101">
                  <c:v>4222.8974140036407</c:v>
                </c:pt>
                <c:pt idx="102">
                  <c:v>4245.0958122186767</c:v>
                </c:pt>
                <c:pt idx="103">
                  <c:v>4267.3377854347718</c:v>
                </c:pt>
                <c:pt idx="104">
                  <c:v>4289.6230702326911</c:v>
                </c:pt>
                <c:pt idx="105">
                  <c:v>4311.9513997321255</c:v>
                </c:pt>
                <c:pt idx="106">
                  <c:v>4334.3225037416314</c:v>
                </c:pt>
                <c:pt idx="107">
                  <c:v>4356.7361089081087</c:v>
                </c:pt>
                <c:pt idx="108">
                  <c:v>4379.191938865677</c:v>
                </c:pt>
                <c:pt idx="109">
                  <c:v>4401.6897143837814</c:v>
                </c:pt>
                <c:pt idx="110">
                  <c:v>4424.229153514395</c:v>
                </c:pt>
                <c:pt idx="111">
                  <c:v>4446.8099717381683</c:v>
                </c:pt>
                <c:pt idx="112">
                  <c:v>4469.4318821093902</c:v>
                </c:pt>
                <c:pt idx="113">
                  <c:v>4492.0945953996488</c:v>
                </c:pt>
                <c:pt idx="114">
                  <c:v>4514.7978202400354</c:v>
                </c:pt>
                <c:pt idx="115">
                  <c:v>4537.5412632618163</c:v>
                </c:pt>
                <c:pt idx="116">
                  <c:v>4560.3246292354188</c:v>
                </c:pt>
                <c:pt idx="117">
                  <c:v>4583.1476212076604</c:v>
                </c:pt>
                <c:pt idx="118">
                  <c:v>4606.0099406371019</c:v>
                </c:pt>
                <c:pt idx="119">
                  <c:v>4628.9112875274404</c:v>
                </c:pt>
                <c:pt idx="120">
                  <c:v>4651.8513605588496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954-4B9F-8C65-1E3A35FFAAC8}"/>
            </c:ext>
          </c:extLst>
        </c:ser>
        <c:ser>
          <c:idx val="3"/>
          <c:order val="3"/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Интервалы!$B$23:$B$143</c:f>
              <c:numCache>
                <c:formatCode>General</c:formatCode>
                <c:ptCount val="12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  <c:pt idx="51">
                  <c:v>610</c:v>
                </c:pt>
                <c:pt idx="52">
                  <c:v>620</c:v>
                </c:pt>
                <c:pt idx="53">
                  <c:v>630</c:v>
                </c:pt>
                <c:pt idx="54">
                  <c:v>640</c:v>
                </c:pt>
                <c:pt idx="55">
                  <c:v>650</c:v>
                </c:pt>
                <c:pt idx="56">
                  <c:v>660</c:v>
                </c:pt>
                <c:pt idx="57">
                  <c:v>670</c:v>
                </c:pt>
                <c:pt idx="58">
                  <c:v>680</c:v>
                </c:pt>
                <c:pt idx="59">
                  <c:v>690</c:v>
                </c:pt>
                <c:pt idx="60">
                  <c:v>700</c:v>
                </c:pt>
                <c:pt idx="61">
                  <c:v>710</c:v>
                </c:pt>
                <c:pt idx="62">
                  <c:v>720</c:v>
                </c:pt>
                <c:pt idx="63">
                  <c:v>730</c:v>
                </c:pt>
                <c:pt idx="64">
                  <c:v>740</c:v>
                </c:pt>
                <c:pt idx="65">
                  <c:v>750</c:v>
                </c:pt>
                <c:pt idx="66">
                  <c:v>760</c:v>
                </c:pt>
                <c:pt idx="67">
                  <c:v>770</c:v>
                </c:pt>
                <c:pt idx="68">
                  <c:v>780</c:v>
                </c:pt>
                <c:pt idx="69">
                  <c:v>790</c:v>
                </c:pt>
                <c:pt idx="70">
                  <c:v>800</c:v>
                </c:pt>
                <c:pt idx="71">
                  <c:v>810</c:v>
                </c:pt>
                <c:pt idx="72">
                  <c:v>820</c:v>
                </c:pt>
                <c:pt idx="73">
                  <c:v>830</c:v>
                </c:pt>
                <c:pt idx="74">
                  <c:v>840</c:v>
                </c:pt>
                <c:pt idx="75">
                  <c:v>850</c:v>
                </c:pt>
                <c:pt idx="76">
                  <c:v>860</c:v>
                </c:pt>
                <c:pt idx="77">
                  <c:v>870</c:v>
                </c:pt>
                <c:pt idx="78">
                  <c:v>880</c:v>
                </c:pt>
                <c:pt idx="79">
                  <c:v>890</c:v>
                </c:pt>
                <c:pt idx="80">
                  <c:v>900</c:v>
                </c:pt>
                <c:pt idx="81">
                  <c:v>910</c:v>
                </c:pt>
                <c:pt idx="82">
                  <c:v>920</c:v>
                </c:pt>
                <c:pt idx="83">
                  <c:v>930</c:v>
                </c:pt>
                <c:pt idx="84">
                  <c:v>940</c:v>
                </c:pt>
                <c:pt idx="85">
                  <c:v>950</c:v>
                </c:pt>
                <c:pt idx="86">
                  <c:v>960</c:v>
                </c:pt>
                <c:pt idx="87">
                  <c:v>970</c:v>
                </c:pt>
                <c:pt idx="88">
                  <c:v>980</c:v>
                </c:pt>
                <c:pt idx="89">
                  <c:v>990</c:v>
                </c:pt>
                <c:pt idx="90">
                  <c:v>1000</c:v>
                </c:pt>
                <c:pt idx="91">
                  <c:v>1010</c:v>
                </c:pt>
                <c:pt idx="92">
                  <c:v>1020</c:v>
                </c:pt>
                <c:pt idx="93">
                  <c:v>1030</c:v>
                </c:pt>
                <c:pt idx="94">
                  <c:v>1040</c:v>
                </c:pt>
                <c:pt idx="95">
                  <c:v>1050</c:v>
                </c:pt>
                <c:pt idx="96">
                  <c:v>1060</c:v>
                </c:pt>
                <c:pt idx="97">
                  <c:v>1070</c:v>
                </c:pt>
                <c:pt idx="98">
                  <c:v>1080</c:v>
                </c:pt>
                <c:pt idx="99">
                  <c:v>1090</c:v>
                </c:pt>
                <c:pt idx="100">
                  <c:v>1100</c:v>
                </c:pt>
                <c:pt idx="101">
                  <c:v>1110</c:v>
                </c:pt>
                <c:pt idx="102">
                  <c:v>1120</c:v>
                </c:pt>
                <c:pt idx="103">
                  <c:v>1130</c:v>
                </c:pt>
                <c:pt idx="104">
                  <c:v>1140</c:v>
                </c:pt>
                <c:pt idx="105">
                  <c:v>1150</c:v>
                </c:pt>
                <c:pt idx="106">
                  <c:v>1160</c:v>
                </c:pt>
                <c:pt idx="107">
                  <c:v>1170</c:v>
                </c:pt>
                <c:pt idx="108">
                  <c:v>1180</c:v>
                </c:pt>
                <c:pt idx="109">
                  <c:v>1190</c:v>
                </c:pt>
                <c:pt idx="110">
                  <c:v>1200</c:v>
                </c:pt>
                <c:pt idx="111">
                  <c:v>1210</c:v>
                </c:pt>
                <c:pt idx="112">
                  <c:v>1220</c:v>
                </c:pt>
                <c:pt idx="113">
                  <c:v>1230</c:v>
                </c:pt>
                <c:pt idx="114">
                  <c:v>1240</c:v>
                </c:pt>
                <c:pt idx="115">
                  <c:v>1250</c:v>
                </c:pt>
                <c:pt idx="116">
                  <c:v>1260</c:v>
                </c:pt>
                <c:pt idx="117">
                  <c:v>1270</c:v>
                </c:pt>
                <c:pt idx="118">
                  <c:v>1280</c:v>
                </c:pt>
                <c:pt idx="119">
                  <c:v>1290</c:v>
                </c:pt>
                <c:pt idx="120">
                  <c:v>1300</c:v>
                </c:pt>
              </c:numCache>
            </c:numRef>
          </c:xVal>
          <c:yVal>
            <c:numRef>
              <c:f>Интервалы!$G$23:$G$143</c:f>
              <c:numCache>
                <c:formatCode>0.00</c:formatCode>
                <c:ptCount val="121"/>
                <c:pt idx="0">
                  <c:v>143.07272647230729</c:v>
                </c:pt>
                <c:pt idx="1">
                  <c:v>166.012799503716</c:v>
                </c:pt>
                <c:pt idx="2">
                  <c:v>188.9141463940548</c:v>
                </c:pt>
                <c:pt idx="3">
                  <c:v>211.77646582349666</c:v>
                </c:pt>
                <c:pt idx="4">
                  <c:v>234.59945779573832</c:v>
                </c:pt>
                <c:pt idx="5">
                  <c:v>257.38282376934035</c:v>
                </c:pt>
                <c:pt idx="6">
                  <c:v>280.126266791121</c:v>
                </c:pt>
                <c:pt idx="7">
                  <c:v>302.82949163150852</c:v>
                </c:pt>
                <c:pt idx="8">
                  <c:v>325.49220492176642</c:v>
                </c:pt>
                <c:pt idx="9">
                  <c:v>348.11411529298903</c:v>
                </c:pt>
                <c:pt idx="10">
                  <c:v>370.69493351676158</c:v>
                </c:pt>
                <c:pt idx="11">
                  <c:v>393.23437264737572</c:v>
                </c:pt>
                <c:pt idx="12">
                  <c:v>415.73214816548034</c:v>
                </c:pt>
                <c:pt idx="13">
                  <c:v>438.18797812304842</c:v>
                </c:pt>
                <c:pt idx="14">
                  <c:v>460.60158328952559</c:v>
                </c:pt>
                <c:pt idx="15">
                  <c:v>482.97268729903089</c:v>
                </c:pt>
                <c:pt idx="16">
                  <c:v>505.30101679846553</c:v>
                </c:pt>
                <c:pt idx="17">
                  <c:v>527.58630159638483</c:v>
                </c:pt>
                <c:pt idx="18">
                  <c:v>549.82827481247978</c:v>
                </c:pt>
                <c:pt idx="19">
                  <c:v>572.02667302751649</c:v>
                </c:pt>
                <c:pt idx="20">
                  <c:v>594.18123643356489</c:v>
                </c:pt>
                <c:pt idx="21">
                  <c:v>616.29170898435427</c:v>
                </c:pt>
                <c:pt idx="22">
                  <c:v>638.35783854558372</c:v>
                </c:pt>
                <c:pt idx="23">
                  <c:v>660.3793770450111</c:v>
                </c:pt>
                <c:pt idx="24">
                  <c:v>682.35608062214021</c:v>
                </c:pt>
                <c:pt idx="25">
                  <c:v>704.28770977732268</c:v>
                </c:pt>
                <c:pt idx="26">
                  <c:v>726.17402952009138</c:v>
                </c:pt>
                <c:pt idx="27">
                  <c:v>748.014809516529</c:v>
                </c:pt>
                <c:pt idx="28">
                  <c:v>769.80982423548267</c:v>
                </c:pt>
                <c:pt idx="29">
                  <c:v>791.55885309343034</c:v>
                </c:pt>
                <c:pt idx="30">
                  <c:v>813.26168059779968</c:v>
                </c:pt>
                <c:pt idx="31">
                  <c:v>834.91809648854087</c:v>
                </c:pt>
                <c:pt idx="32">
                  <c:v>856.52789587775658</c:v>
                </c:pt>
                <c:pt idx="33">
                  <c:v>878.09087938718483</c:v>
                </c:pt>
                <c:pt idx="34">
                  <c:v>899.60685328333773</c:v>
                </c:pt>
                <c:pt idx="35">
                  <c:v>921.07562961009285</c:v>
                </c:pt>
                <c:pt idx="36">
                  <c:v>942.49702631854211</c:v>
                </c:pt>
                <c:pt idx="37">
                  <c:v>963.87086739389599</c:v>
                </c:pt>
                <c:pt idx="38">
                  <c:v>985.19698297924845</c:v>
                </c:pt>
                <c:pt idx="39">
                  <c:v>1006.4752094960112</c:v>
                </c:pt>
                <c:pt idx="40">
                  <c:v>1027.7053897608223</c:v>
                </c:pt>
                <c:pt idx="41">
                  <c:v>1048.8873730987445</c:v>
                </c:pt>
                <c:pt idx="42">
                  <c:v>1070.021015452568</c:v>
                </c:pt>
                <c:pt idx="43">
                  <c:v>1091.1061794880407</c:v>
                </c:pt>
                <c:pt idx="44">
                  <c:v>1112.1427346948471</c:v>
                </c:pt>
                <c:pt idx="45">
                  <c:v>1133.1305574831747</c:v>
                </c:pt>
                <c:pt idx="46">
                  <c:v>1154.0695312756943</c:v>
                </c:pt>
                <c:pt idx="47">
                  <c:v>1174.9595465948082</c:v>
                </c:pt>
                <c:pt idx="48">
                  <c:v>1195.8005011450102</c:v>
                </c:pt>
                <c:pt idx="49">
                  <c:v>1216.5922998902156</c:v>
                </c:pt>
                <c:pt idx="50">
                  <c:v>1237.3348551259305</c:v>
                </c:pt>
                <c:pt idx="51">
                  <c:v>1258.0280865461291</c:v>
                </c:pt>
                <c:pt idx="52">
                  <c:v>1278.6719213047231</c:v>
                </c:pt>
                <c:pt idx="53">
                  <c:v>1299.2662940715172</c:v>
                </c:pt>
                <c:pt idx="54">
                  <c:v>1319.8111470825434</c:v>
                </c:pt>
                <c:pt idx="55">
                  <c:v>1340.3064301846953</c:v>
                </c:pt>
                <c:pt idx="56">
                  <c:v>1360.7521008745721</c:v>
                </c:pt>
                <c:pt idx="57">
                  <c:v>1381.1481243314654</c:v>
                </c:pt>
                <c:pt idx="58">
                  <c:v>1401.494473444433</c:v>
                </c:pt>
                <c:pt idx="59">
                  <c:v>1421.7911288334071</c:v>
                </c:pt>
                <c:pt idx="60">
                  <c:v>1442.0380788642974</c:v>
                </c:pt>
                <c:pt idx="61">
                  <c:v>1462.2353196580643</c:v>
                </c:pt>
                <c:pt idx="62">
                  <c:v>1482.3828550937474</c:v>
                </c:pt>
                <c:pt idx="63">
                  <c:v>1502.480696805437</c:v>
                </c:pt>
                <c:pt idx="64">
                  <c:v>1522.5288641732009</c:v>
                </c:pt>
                <c:pt idx="65">
                  <c:v>1542.5273843079813</c:v>
                </c:pt>
                <c:pt idx="66">
                  <c:v>1562.4762920304865</c:v>
                </c:pt>
                <c:pt idx="67">
                  <c:v>1582.3756298441176</c:v>
                </c:pt>
                <c:pt idx="68">
                  <c:v>1602.2254479019816</c:v>
                </c:pt>
                <c:pt idx="69">
                  <c:v>1622.0258039680448</c:v>
                </c:pt>
                <c:pt idx="70">
                  <c:v>1641.7767633725034</c:v>
                </c:pt>
                <c:pt idx="71">
                  <c:v>1661.4783989614457</c:v>
                </c:pt>
                <c:pt idx="72">
                  <c:v>1681.1307910408975</c:v>
                </c:pt>
                <c:pt idx="73">
                  <c:v>1700.7340273153536</c:v>
                </c:pt>
                <c:pt idx="74">
                  <c:v>1720.2882028208969</c:v>
                </c:pt>
                <c:pt idx="75">
                  <c:v>1739.7934198530345</c:v>
                </c:pt>
                <c:pt idx="76">
                  <c:v>1759.2497878893641</c:v>
                </c:pt>
                <c:pt idx="77">
                  <c:v>1778.6574235072148</c:v>
                </c:pt>
                <c:pt idx="78">
                  <c:v>1798.0164502963994</c:v>
                </c:pt>
                <c:pt idx="79">
                  <c:v>1817.3269987672331</c:v>
                </c:pt>
                <c:pt idx="80">
                  <c:v>1836.5892062539681</c:v>
                </c:pt>
                <c:pt idx="81">
                  <c:v>1855.8032168138143</c:v>
                </c:pt>
                <c:pt idx="82">
                  <c:v>1874.9691811217085</c:v>
                </c:pt>
                <c:pt idx="83">
                  <c:v>1894.0872563610133</c:v>
                </c:pt>
                <c:pt idx="84">
                  <c:v>1913.1576061103169</c:v>
                </c:pt>
                <c:pt idx="85">
                  <c:v>1932.1804002265249</c:v>
                </c:pt>
                <c:pt idx="86">
                  <c:v>1951.1558147244268</c:v>
                </c:pt>
                <c:pt idx="87">
                  <c:v>1970.0840316529316</c:v>
                </c:pt>
                <c:pt idx="88">
                  <c:v>1988.965238968161</c:v>
                </c:pt>
                <c:pt idx="89">
                  <c:v>2007.7996304036024</c:v>
                </c:pt>
                <c:pt idx="90">
                  <c:v>2026.5874053375182</c:v>
                </c:pt>
                <c:pt idx="91">
                  <c:v>2045.3287686578062</c:v>
                </c:pt>
                <c:pt idx="92">
                  <c:v>2064.0239306245157</c:v>
                </c:pt>
                <c:pt idx="93">
                  <c:v>2082.6731067302194</c:v>
                </c:pt>
                <c:pt idx="94">
                  <c:v>2101.2765175584391</c:v>
                </c:pt>
                <c:pt idx="95">
                  <c:v>2119.8343886403277</c:v>
                </c:pt>
                <c:pt idx="96">
                  <c:v>2138.3469503098027</c:v>
                </c:pt>
                <c:pt idx="97">
                  <c:v>2156.8144375573311</c:v>
                </c:pt>
                <c:pt idx="98">
                  <c:v>2175.2370898825611</c:v>
                </c:pt>
                <c:pt idx="99">
                  <c:v>2193.6151511459884</c:v>
                </c:pt>
                <c:pt idx="100">
                  <c:v>2211.9488694198562</c:v>
                </c:pt>
                <c:pt idx="101">
                  <c:v>2230.2384968384654</c:v>
                </c:pt>
                <c:pt idx="102">
                  <c:v>2248.4842894480857</c:v>
                </c:pt>
                <c:pt idx="103">
                  <c:v>2266.6865070566482</c:v>
                </c:pt>
                <c:pt idx="104">
                  <c:v>2284.8454130833861</c:v>
                </c:pt>
                <c:pt idx="105">
                  <c:v>2302.9612744086089</c:v>
                </c:pt>
                <c:pt idx="106">
                  <c:v>2321.0343612237612</c:v>
                </c:pt>
                <c:pt idx="107">
                  <c:v>2339.0649468819411</c:v>
                </c:pt>
                <c:pt idx="108">
                  <c:v>2357.0533077490304</c:v>
                </c:pt>
                <c:pt idx="109">
                  <c:v>2374.9997230555828</c:v>
                </c:pt>
                <c:pt idx="110">
                  <c:v>2392.9044747496259</c:v>
                </c:pt>
                <c:pt idx="111">
                  <c:v>2410.7678473505107</c:v>
                </c:pt>
                <c:pt idx="112">
                  <c:v>2428.5901278039455</c:v>
                </c:pt>
                <c:pt idx="113">
                  <c:v>2446.3716053383446</c:v>
                </c:pt>
                <c:pt idx="114">
                  <c:v>2464.1125713226147</c:v>
                </c:pt>
                <c:pt idx="115">
                  <c:v>2481.813319125491</c:v>
                </c:pt>
                <c:pt idx="116">
                  <c:v>2499.4741439765467</c:v>
                </c:pt>
                <c:pt idx="117">
                  <c:v>2517.0953428289622</c:v>
                </c:pt>
                <c:pt idx="118">
                  <c:v>2534.677214224178</c:v>
                </c:pt>
                <c:pt idx="119">
                  <c:v>2552.2200581584962</c:v>
                </c:pt>
                <c:pt idx="120">
                  <c:v>2569.7241759517447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954-4B9F-8C65-1E3A35FFAAC8}"/>
            </c:ext>
          </c:extLst>
        </c:ser>
        <c:ser>
          <c:idx val="4"/>
          <c:order val="4"/>
          <c:tx>
            <c:strRef>
              <c:f>Интервалы!$I$21</c:f>
              <c:strCache>
                <c:ptCount val="1"/>
                <c:pt idx="0">
                  <c:v>Доверит. интервал для Yср|Xi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Интервалы!$B$23:$B$143</c:f>
              <c:numCache>
                <c:formatCode>General</c:formatCode>
                <c:ptCount val="12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  <c:pt idx="51">
                  <c:v>610</c:v>
                </c:pt>
                <c:pt idx="52">
                  <c:v>620</c:v>
                </c:pt>
                <c:pt idx="53">
                  <c:v>630</c:v>
                </c:pt>
                <c:pt idx="54">
                  <c:v>640</c:v>
                </c:pt>
                <c:pt idx="55">
                  <c:v>650</c:v>
                </c:pt>
                <c:pt idx="56">
                  <c:v>660</c:v>
                </c:pt>
                <c:pt idx="57">
                  <c:v>670</c:v>
                </c:pt>
                <c:pt idx="58">
                  <c:v>680</c:v>
                </c:pt>
                <c:pt idx="59">
                  <c:v>690</c:v>
                </c:pt>
                <c:pt idx="60">
                  <c:v>700</c:v>
                </c:pt>
                <c:pt idx="61">
                  <c:v>710</c:v>
                </c:pt>
                <c:pt idx="62">
                  <c:v>720</c:v>
                </c:pt>
                <c:pt idx="63">
                  <c:v>730</c:v>
                </c:pt>
                <c:pt idx="64">
                  <c:v>740</c:v>
                </c:pt>
                <c:pt idx="65">
                  <c:v>750</c:v>
                </c:pt>
                <c:pt idx="66">
                  <c:v>760</c:v>
                </c:pt>
                <c:pt idx="67">
                  <c:v>770</c:v>
                </c:pt>
                <c:pt idx="68">
                  <c:v>780</c:v>
                </c:pt>
                <c:pt idx="69">
                  <c:v>790</c:v>
                </c:pt>
                <c:pt idx="70">
                  <c:v>800</c:v>
                </c:pt>
                <c:pt idx="71">
                  <c:v>810</c:v>
                </c:pt>
                <c:pt idx="72">
                  <c:v>820</c:v>
                </c:pt>
                <c:pt idx="73">
                  <c:v>830</c:v>
                </c:pt>
                <c:pt idx="74">
                  <c:v>840</c:v>
                </c:pt>
                <c:pt idx="75">
                  <c:v>850</c:v>
                </c:pt>
                <c:pt idx="76">
                  <c:v>860</c:v>
                </c:pt>
                <c:pt idx="77">
                  <c:v>870</c:v>
                </c:pt>
                <c:pt idx="78">
                  <c:v>880</c:v>
                </c:pt>
                <c:pt idx="79">
                  <c:v>890</c:v>
                </c:pt>
                <c:pt idx="80">
                  <c:v>900</c:v>
                </c:pt>
                <c:pt idx="81">
                  <c:v>910</c:v>
                </c:pt>
                <c:pt idx="82">
                  <c:v>920</c:v>
                </c:pt>
                <c:pt idx="83">
                  <c:v>930</c:v>
                </c:pt>
                <c:pt idx="84">
                  <c:v>940</c:v>
                </c:pt>
                <c:pt idx="85">
                  <c:v>950</c:v>
                </c:pt>
                <c:pt idx="86">
                  <c:v>960</c:v>
                </c:pt>
                <c:pt idx="87">
                  <c:v>970</c:v>
                </c:pt>
                <c:pt idx="88">
                  <c:v>980</c:v>
                </c:pt>
                <c:pt idx="89">
                  <c:v>990</c:v>
                </c:pt>
                <c:pt idx="90">
                  <c:v>1000</c:v>
                </c:pt>
                <c:pt idx="91">
                  <c:v>1010</c:v>
                </c:pt>
                <c:pt idx="92">
                  <c:v>1020</c:v>
                </c:pt>
                <c:pt idx="93">
                  <c:v>1030</c:v>
                </c:pt>
                <c:pt idx="94">
                  <c:v>1040</c:v>
                </c:pt>
                <c:pt idx="95">
                  <c:v>1050</c:v>
                </c:pt>
                <c:pt idx="96">
                  <c:v>1060</c:v>
                </c:pt>
                <c:pt idx="97">
                  <c:v>1070</c:v>
                </c:pt>
                <c:pt idx="98">
                  <c:v>1080</c:v>
                </c:pt>
                <c:pt idx="99">
                  <c:v>1090</c:v>
                </c:pt>
                <c:pt idx="100">
                  <c:v>1100</c:v>
                </c:pt>
                <c:pt idx="101">
                  <c:v>1110</c:v>
                </c:pt>
                <c:pt idx="102">
                  <c:v>1120</c:v>
                </c:pt>
                <c:pt idx="103">
                  <c:v>1130</c:v>
                </c:pt>
                <c:pt idx="104">
                  <c:v>1140</c:v>
                </c:pt>
                <c:pt idx="105">
                  <c:v>1150</c:v>
                </c:pt>
                <c:pt idx="106">
                  <c:v>1160</c:v>
                </c:pt>
                <c:pt idx="107">
                  <c:v>1170</c:v>
                </c:pt>
                <c:pt idx="108">
                  <c:v>1180</c:v>
                </c:pt>
                <c:pt idx="109">
                  <c:v>1190</c:v>
                </c:pt>
                <c:pt idx="110">
                  <c:v>1200</c:v>
                </c:pt>
                <c:pt idx="111">
                  <c:v>1210</c:v>
                </c:pt>
                <c:pt idx="112">
                  <c:v>1220</c:v>
                </c:pt>
                <c:pt idx="113">
                  <c:v>1230</c:v>
                </c:pt>
                <c:pt idx="114">
                  <c:v>1240</c:v>
                </c:pt>
                <c:pt idx="115">
                  <c:v>1250</c:v>
                </c:pt>
                <c:pt idx="116">
                  <c:v>1260</c:v>
                </c:pt>
                <c:pt idx="117">
                  <c:v>1270</c:v>
                </c:pt>
                <c:pt idx="118">
                  <c:v>1280</c:v>
                </c:pt>
                <c:pt idx="119">
                  <c:v>1290</c:v>
                </c:pt>
                <c:pt idx="120">
                  <c:v>1300</c:v>
                </c:pt>
              </c:numCache>
            </c:numRef>
          </c:xVal>
          <c:yVal>
            <c:numRef>
              <c:f>Интервалы!$I$23:$I$143</c:f>
              <c:numCache>
                <c:formatCode>0.00</c:formatCode>
                <c:ptCount val="121"/>
                <c:pt idx="0">
                  <c:v>1597.6317344407848</c:v>
                </c:pt>
                <c:pt idx="1">
                  <c:v>1610.9622399085156</c:v>
                </c:pt>
                <c:pt idx="2">
                  <c:v>1624.2927453817488</c:v>
                </c:pt>
                <c:pt idx="3">
                  <c:v>1637.6232508607741</c:v>
                </c:pt>
                <c:pt idx="4">
                  <c:v>1650.9537563459019</c:v>
                </c:pt>
                <c:pt idx="5">
                  <c:v>1664.2842618374648</c:v>
                </c:pt>
                <c:pt idx="6">
                  <c:v>1677.6147673358205</c:v>
                </c:pt>
                <c:pt idx="7">
                  <c:v>1690.9452728413535</c:v>
                </c:pt>
                <c:pt idx="8">
                  <c:v>1704.2757783544776</c:v>
                </c:pt>
                <c:pt idx="9">
                  <c:v>1717.6062838756397</c:v>
                </c:pt>
                <c:pt idx="10">
                  <c:v>1730.9367894053219</c:v>
                </c:pt>
                <c:pt idx="11">
                  <c:v>1744.2672949440457</c:v>
                </c:pt>
                <c:pt idx="12">
                  <c:v>1757.5978004923766</c:v>
                </c:pt>
                <c:pt idx="13">
                  <c:v>1770.9283060509274</c:v>
                </c:pt>
                <c:pt idx="14">
                  <c:v>1784.2588116203651</c:v>
                </c:pt>
                <c:pt idx="15">
                  <c:v>1797.589317201415</c:v>
                </c:pt>
                <c:pt idx="16">
                  <c:v>1810.9198227948691</c:v>
                </c:pt>
                <c:pt idx="17">
                  <c:v>1824.2503284015929</c:v>
                </c:pt>
                <c:pt idx="18">
                  <c:v>1837.5808340225337</c:v>
                </c:pt>
                <c:pt idx="19">
                  <c:v>1850.9113396587322</c:v>
                </c:pt>
                <c:pt idx="20">
                  <c:v>1864.2418453113328</c:v>
                </c:pt>
                <c:pt idx="21">
                  <c:v>1877.5723509815971</c:v>
                </c:pt>
                <c:pt idx="22">
                  <c:v>1890.9028566709194</c:v>
                </c:pt>
                <c:pt idx="23">
                  <c:v>1904.2333623808454</c:v>
                </c:pt>
                <c:pt idx="24">
                  <c:v>1917.5638681130918</c:v>
                </c:pt>
                <c:pt idx="25">
                  <c:v>1930.8943738695716</c:v>
                </c:pt>
                <c:pt idx="26">
                  <c:v>1944.2248796524232</c:v>
                </c:pt>
                <c:pt idx="27">
                  <c:v>1957.5553854640443</c:v>
                </c:pt>
                <c:pt idx="28">
                  <c:v>1970.8858913071315</c:v>
                </c:pt>
                <c:pt idx="29">
                  <c:v>1984.2163971847303</c:v>
                </c:pt>
                <c:pt idx="30">
                  <c:v>1997.5469031002917</c:v>
                </c:pt>
                <c:pt idx="31">
                  <c:v>2010.8774090577429</c:v>
                </c:pt>
                <c:pt idx="32">
                  <c:v>2024.2079150615721</c:v>
                </c:pt>
                <c:pt idx="33">
                  <c:v>2037.5384211169326</c:v>
                </c:pt>
                <c:pt idx="34">
                  <c:v>2050.8689272297702</c:v>
                </c:pt>
                <c:pt idx="35">
                  <c:v>2064.1994334069818</c:v>
                </c:pt>
                <c:pt idx="36">
                  <c:v>2077.5299396566147</c:v>
                </c:pt>
                <c:pt idx="37">
                  <c:v>2090.8604459881149</c:v>
                </c:pt>
                <c:pt idx="38">
                  <c:v>2104.1909524126459</c:v>
                </c:pt>
                <c:pt idx="39">
                  <c:v>2117.5214589434977</c:v>
                </c:pt>
                <c:pt idx="40">
                  <c:v>2130.8519655966193</c:v>
                </c:pt>
                <c:pt idx="41">
                  <c:v>2144.1824723913155</c:v>
                </c:pt>
                <c:pt idx="42">
                  <c:v>2157.5129793511828</c:v>
                </c:pt>
                <c:pt idx="43">
                  <c:v>2170.8434865053682</c:v>
                </c:pt>
                <c:pt idx="44">
                  <c:v>2184.1739938903074</c:v>
                </c:pt>
                <c:pt idx="45">
                  <c:v>2197.50450155215</c:v>
                </c:pt>
                <c:pt idx="46">
                  <c:v>2210.8350095502333</c:v>
                </c:pt>
                <c:pt idx="47">
                  <c:v>2224.1655179621507</c:v>
                </c:pt>
                <c:pt idx="48">
                  <c:v>2237.496026891361</c:v>
                </c:pt>
                <c:pt idx="49">
                  <c:v>2250.8265364789436</c:v>
                </c:pt>
                <c:pt idx="50">
                  <c:v>2264.1570469224098</c:v>
                </c:pt>
                <c:pt idx="51">
                  <c:v>2277.4875585070536</c:v>
                </c:pt>
                <c:pt idx="52">
                  <c:v>2290.8180716608163</c:v>
                </c:pt>
                <c:pt idx="53">
                  <c:v>2304.1485870561755</c:v>
                </c:pt>
                <c:pt idx="54">
                  <c:v>2317.479105813924</c:v>
                </c:pt>
                <c:pt idx="55">
                  <c:v>2330.8096299514859</c:v>
                </c:pt>
                <c:pt idx="56">
                  <c:v>2344.14016350369</c:v>
                </c:pt>
                <c:pt idx="57">
                  <c:v>2357.4707158850561</c:v>
                </c:pt>
                <c:pt idx="58">
                  <c:v>2370.8013153385841</c:v>
                </c:pt>
                <c:pt idx="59">
                  <c:v>2384.1321030687054</c:v>
                </c:pt>
                <c:pt idx="60">
                  <c:v>2397.55028128505</c:v>
                </c:pt>
                <c:pt idx="61">
                  <c:v>2424.5762938933626</c:v>
                </c:pt>
                <c:pt idx="62">
                  <c:v>2451.6896969878985</c:v>
                </c:pt>
                <c:pt idx="63">
                  <c:v>2478.8032883590276</c:v>
                </c:pt>
                <c:pt idx="64">
                  <c:v>2505.9169268023188</c:v>
                </c:pt>
                <c:pt idx="65">
                  <c:v>2533.0305840747719</c:v>
                </c:pt>
                <c:pt idx="66">
                  <c:v>2560.1442507618672</c:v>
                </c:pt>
                <c:pt idx="67">
                  <c:v>2587.2579228287759</c:v>
                </c:pt>
                <c:pt idx="68">
                  <c:v>2614.3715982580748</c:v>
                </c:pt>
                <c:pt idx="69">
                  <c:v>2641.4852759289693</c:v>
                </c:pt>
                <c:pt idx="70">
                  <c:v>2668.5989551689827</c:v>
                </c:pt>
                <c:pt idx="71">
                  <c:v>2695.7126355501737</c:v>
                </c:pt>
                <c:pt idx="72">
                  <c:v>2722.8263167872483</c:v>
                </c:pt>
                <c:pt idx="73">
                  <c:v>2749.9399986826961</c:v>
                </c:pt>
                <c:pt idx="74">
                  <c:v>2777.0536810954359</c:v>
                </c:pt>
                <c:pt idx="75">
                  <c:v>2804.1673639220098</c:v>
                </c:pt>
                <c:pt idx="76">
                  <c:v>2831.2810470848244</c:v>
                </c:pt>
                <c:pt idx="77">
                  <c:v>2858.3947305245424</c:v>
                </c:pt>
                <c:pt idx="78">
                  <c:v>2885.5084141950142</c:v>
                </c:pt>
                <c:pt idx="79">
                  <c:v>2912.6220980598041</c:v>
                </c:pt>
                <c:pt idx="80">
                  <c:v>2939.7357820897651</c:v>
                </c:pt>
                <c:pt idx="81">
                  <c:v>2966.8494662613007</c:v>
                </c:pt>
                <c:pt idx="82">
                  <c:v>2993.963150555106</c:v>
                </c:pt>
                <c:pt idx="83">
                  <c:v>3021.0768349552322</c:v>
                </c:pt>
                <c:pt idx="84">
                  <c:v>3048.1905194483893</c:v>
                </c:pt>
                <c:pt idx="85">
                  <c:v>3075.3042040234136</c:v>
                </c:pt>
                <c:pt idx="86">
                  <c:v>3102.4178886708592</c:v>
                </c:pt>
                <c:pt idx="87">
                  <c:v>3129.5315733826792</c:v>
                </c:pt>
                <c:pt idx="88">
                  <c:v>3156.6452581519766</c:v>
                </c:pt>
                <c:pt idx="89">
                  <c:v>3183.7589429728046</c:v>
                </c:pt>
                <c:pt idx="90">
                  <c:v>3210.8726278400104</c:v>
                </c:pt>
                <c:pt idx="91">
                  <c:v>3237.9863127491062</c:v>
                </c:pt>
                <c:pt idx="92">
                  <c:v>3265.0999976961648</c:v>
                </c:pt>
                <c:pt idx="93">
                  <c:v>3292.2136826777346</c:v>
                </c:pt>
                <c:pt idx="94">
                  <c:v>3319.3273676907711</c:v>
                </c:pt>
                <c:pt idx="95">
                  <c:v>3346.4410527325763</c:v>
                </c:pt>
                <c:pt idx="96">
                  <c:v>3373.5547378007545</c:v>
                </c:pt>
                <c:pt idx="97">
                  <c:v>3400.6684228931654</c:v>
                </c:pt>
                <c:pt idx="98">
                  <c:v>3427.7821080078966</c:v>
                </c:pt>
                <c:pt idx="99">
                  <c:v>3454.8957931432315</c:v>
                </c:pt>
                <c:pt idx="100">
                  <c:v>3482.0094782976244</c:v>
                </c:pt>
                <c:pt idx="101">
                  <c:v>3509.123163469681</c:v>
                </c:pt>
                <c:pt idx="102">
                  <c:v>3536.2368486581399</c:v>
                </c:pt>
                <c:pt idx="103">
                  <c:v>3563.3505338618561</c:v>
                </c:pt>
                <c:pt idx="104">
                  <c:v>3590.4642190797895</c:v>
                </c:pt>
                <c:pt idx="105">
                  <c:v>3617.5779043109928</c:v>
                </c:pt>
                <c:pt idx="106">
                  <c:v>3644.6915895546008</c:v>
                </c:pt>
                <c:pt idx="107">
                  <c:v>3671.8052748098203</c:v>
                </c:pt>
                <c:pt idx="108">
                  <c:v>3698.9189600759264</c:v>
                </c:pt>
                <c:pt idx="109">
                  <c:v>3726.032645352253</c:v>
                </c:pt>
                <c:pt idx="110">
                  <c:v>3753.1463306381866</c:v>
                </c:pt>
                <c:pt idx="111">
                  <c:v>3780.2600159331614</c:v>
                </c:pt>
                <c:pt idx="112">
                  <c:v>3807.3737012366564</c:v>
                </c:pt>
                <c:pt idx="113">
                  <c:v>3834.4873865481895</c:v>
                </c:pt>
                <c:pt idx="114">
                  <c:v>3861.6010718673137</c:v>
                </c:pt>
                <c:pt idx="115">
                  <c:v>3888.7147571936157</c:v>
                </c:pt>
                <c:pt idx="116">
                  <c:v>3915.8284425267102</c:v>
                </c:pt>
                <c:pt idx="117">
                  <c:v>3942.9421278662398</c:v>
                </c:pt>
                <c:pt idx="118">
                  <c:v>3970.0558132118717</c:v>
                </c:pt>
                <c:pt idx="119">
                  <c:v>3997.1694985632957</c:v>
                </c:pt>
                <c:pt idx="120">
                  <c:v>4024.2831839202222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954-4B9F-8C65-1E3A35FFAAC8}"/>
            </c:ext>
          </c:extLst>
        </c:ser>
        <c:ser>
          <c:idx val="5"/>
          <c:order val="5"/>
          <c:spPr>
            <a:ln w="2222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Интервалы!$B$23:$B$143</c:f>
              <c:numCache>
                <c:formatCode>General</c:formatCode>
                <c:ptCount val="12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  <c:pt idx="51">
                  <c:v>610</c:v>
                </c:pt>
                <c:pt idx="52">
                  <c:v>620</c:v>
                </c:pt>
                <c:pt idx="53">
                  <c:v>630</c:v>
                </c:pt>
                <c:pt idx="54">
                  <c:v>640</c:v>
                </c:pt>
                <c:pt idx="55">
                  <c:v>650</c:v>
                </c:pt>
                <c:pt idx="56">
                  <c:v>660</c:v>
                </c:pt>
                <c:pt idx="57">
                  <c:v>670</c:v>
                </c:pt>
                <c:pt idx="58">
                  <c:v>680</c:v>
                </c:pt>
                <c:pt idx="59">
                  <c:v>690</c:v>
                </c:pt>
                <c:pt idx="60">
                  <c:v>700</c:v>
                </c:pt>
                <c:pt idx="61">
                  <c:v>710</c:v>
                </c:pt>
                <c:pt idx="62">
                  <c:v>720</c:v>
                </c:pt>
                <c:pt idx="63">
                  <c:v>730</c:v>
                </c:pt>
                <c:pt idx="64">
                  <c:v>740</c:v>
                </c:pt>
                <c:pt idx="65">
                  <c:v>750</c:v>
                </c:pt>
                <c:pt idx="66">
                  <c:v>760</c:v>
                </c:pt>
                <c:pt idx="67">
                  <c:v>770</c:v>
                </c:pt>
                <c:pt idx="68">
                  <c:v>780</c:v>
                </c:pt>
                <c:pt idx="69">
                  <c:v>790</c:v>
                </c:pt>
                <c:pt idx="70">
                  <c:v>800</c:v>
                </c:pt>
                <c:pt idx="71">
                  <c:v>810</c:v>
                </c:pt>
                <c:pt idx="72">
                  <c:v>820</c:v>
                </c:pt>
                <c:pt idx="73">
                  <c:v>830</c:v>
                </c:pt>
                <c:pt idx="74">
                  <c:v>840</c:v>
                </c:pt>
                <c:pt idx="75">
                  <c:v>850</c:v>
                </c:pt>
                <c:pt idx="76">
                  <c:v>860</c:v>
                </c:pt>
                <c:pt idx="77">
                  <c:v>870</c:v>
                </c:pt>
                <c:pt idx="78">
                  <c:v>880</c:v>
                </c:pt>
                <c:pt idx="79">
                  <c:v>890</c:v>
                </c:pt>
                <c:pt idx="80">
                  <c:v>900</c:v>
                </c:pt>
                <c:pt idx="81">
                  <c:v>910</c:v>
                </c:pt>
                <c:pt idx="82">
                  <c:v>920</c:v>
                </c:pt>
                <c:pt idx="83">
                  <c:v>930</c:v>
                </c:pt>
                <c:pt idx="84">
                  <c:v>940</c:v>
                </c:pt>
                <c:pt idx="85">
                  <c:v>950</c:v>
                </c:pt>
                <c:pt idx="86">
                  <c:v>960</c:v>
                </c:pt>
                <c:pt idx="87">
                  <c:v>970</c:v>
                </c:pt>
                <c:pt idx="88">
                  <c:v>980</c:v>
                </c:pt>
                <c:pt idx="89">
                  <c:v>990</c:v>
                </c:pt>
                <c:pt idx="90">
                  <c:v>1000</c:v>
                </c:pt>
                <c:pt idx="91">
                  <c:v>1010</c:v>
                </c:pt>
                <c:pt idx="92">
                  <c:v>1020</c:v>
                </c:pt>
                <c:pt idx="93">
                  <c:v>1030</c:v>
                </c:pt>
                <c:pt idx="94">
                  <c:v>1040</c:v>
                </c:pt>
                <c:pt idx="95">
                  <c:v>1050</c:v>
                </c:pt>
                <c:pt idx="96">
                  <c:v>1060</c:v>
                </c:pt>
                <c:pt idx="97">
                  <c:v>1070</c:v>
                </c:pt>
                <c:pt idx="98">
                  <c:v>1080</c:v>
                </c:pt>
                <c:pt idx="99">
                  <c:v>1090</c:v>
                </c:pt>
                <c:pt idx="100">
                  <c:v>1100</c:v>
                </c:pt>
                <c:pt idx="101">
                  <c:v>1110</c:v>
                </c:pt>
                <c:pt idx="102">
                  <c:v>1120</c:v>
                </c:pt>
                <c:pt idx="103">
                  <c:v>1130</c:v>
                </c:pt>
                <c:pt idx="104">
                  <c:v>1140</c:v>
                </c:pt>
                <c:pt idx="105">
                  <c:v>1150</c:v>
                </c:pt>
                <c:pt idx="106">
                  <c:v>1160</c:v>
                </c:pt>
                <c:pt idx="107">
                  <c:v>1170</c:v>
                </c:pt>
                <c:pt idx="108">
                  <c:v>1180</c:v>
                </c:pt>
                <c:pt idx="109">
                  <c:v>1190</c:v>
                </c:pt>
                <c:pt idx="110">
                  <c:v>1200</c:v>
                </c:pt>
                <c:pt idx="111">
                  <c:v>1210</c:v>
                </c:pt>
                <c:pt idx="112">
                  <c:v>1220</c:v>
                </c:pt>
                <c:pt idx="113">
                  <c:v>1230</c:v>
                </c:pt>
                <c:pt idx="114">
                  <c:v>1240</c:v>
                </c:pt>
                <c:pt idx="115">
                  <c:v>1250</c:v>
                </c:pt>
                <c:pt idx="116">
                  <c:v>1260</c:v>
                </c:pt>
                <c:pt idx="117">
                  <c:v>1270</c:v>
                </c:pt>
                <c:pt idx="118">
                  <c:v>1280</c:v>
                </c:pt>
                <c:pt idx="119">
                  <c:v>1290</c:v>
                </c:pt>
                <c:pt idx="120">
                  <c:v>1300</c:v>
                </c:pt>
              </c:numCache>
            </c:numRef>
          </c:xVal>
          <c:yVal>
            <c:numRef>
              <c:f>Интервалы!$J$23:$J$143</c:f>
              <c:numCache>
                <c:formatCode>0.00</c:formatCode>
                <c:ptCount val="121"/>
                <c:pt idx="0">
                  <c:v>770.64090311093469</c:v>
                </c:pt>
                <c:pt idx="1">
                  <c:v>797.75458846786114</c:v>
                </c:pt>
                <c:pt idx="2">
                  <c:v>824.86827381928515</c:v>
                </c:pt>
                <c:pt idx="3">
                  <c:v>851.98195916491704</c:v>
                </c:pt>
                <c:pt idx="4">
                  <c:v>879.09564450444691</c:v>
                </c:pt>
                <c:pt idx="5">
                  <c:v>906.20932983754119</c:v>
                </c:pt>
                <c:pt idx="6">
                  <c:v>933.32301516384268</c:v>
                </c:pt>
                <c:pt idx="7">
                  <c:v>960.43670048296735</c:v>
                </c:pt>
                <c:pt idx="8">
                  <c:v>987.55038579450036</c:v>
                </c:pt>
                <c:pt idx="9">
                  <c:v>1014.6640710979955</c:v>
                </c:pt>
                <c:pt idx="10">
                  <c:v>1041.7777563929706</c:v>
                </c:pt>
                <c:pt idx="11">
                  <c:v>1068.8914416789039</c:v>
                </c:pt>
                <c:pt idx="12">
                  <c:v>1096.0051269552303</c:v>
                </c:pt>
                <c:pt idx="13">
                  <c:v>1123.1188122213366</c:v>
                </c:pt>
                <c:pt idx="14">
                  <c:v>1150.2324974765565</c:v>
                </c:pt>
                <c:pt idx="15">
                  <c:v>1177.3461827201638</c:v>
                </c:pt>
                <c:pt idx="16">
                  <c:v>1204.459867951367</c:v>
                </c:pt>
                <c:pt idx="17">
                  <c:v>1231.5735531693008</c:v>
                </c:pt>
                <c:pt idx="18">
                  <c:v>1258.6872383730172</c:v>
                </c:pt>
                <c:pt idx="19">
                  <c:v>1285.8009235614759</c:v>
                </c:pt>
                <c:pt idx="20">
                  <c:v>1312.9146087335325</c:v>
                </c:pt>
                <c:pt idx="21">
                  <c:v>1340.0282938879254</c:v>
                </c:pt>
                <c:pt idx="22">
                  <c:v>1367.1419790232603</c:v>
                </c:pt>
                <c:pt idx="23">
                  <c:v>1394.2556641379915</c:v>
                </c:pt>
                <c:pt idx="24">
                  <c:v>1421.3693492304028</c:v>
                </c:pt>
                <c:pt idx="25">
                  <c:v>1448.4830342985802</c:v>
                </c:pt>
                <c:pt idx="26">
                  <c:v>1475.5967193403858</c:v>
                </c:pt>
                <c:pt idx="27">
                  <c:v>1502.7104043534223</c:v>
                </c:pt>
                <c:pt idx="28">
                  <c:v>1529.8240893349923</c:v>
                </c:pt>
                <c:pt idx="29">
                  <c:v>1556.9377742820507</c:v>
                </c:pt>
                <c:pt idx="30">
                  <c:v>1584.0514591911465</c:v>
                </c:pt>
                <c:pt idx="31">
                  <c:v>1611.1651440583526</c:v>
                </c:pt>
                <c:pt idx="32">
                  <c:v>1638.2788288791805</c:v>
                </c:pt>
                <c:pt idx="33">
                  <c:v>1665.3925136484772</c:v>
                </c:pt>
                <c:pt idx="34">
                  <c:v>1692.5061983602973</c:v>
                </c:pt>
                <c:pt idx="35">
                  <c:v>1719.6198830077428</c:v>
                </c:pt>
                <c:pt idx="36">
                  <c:v>1746.7335675827674</c:v>
                </c:pt>
                <c:pt idx="37">
                  <c:v>1773.8472520759246</c:v>
                </c:pt>
                <c:pt idx="38">
                  <c:v>1800.9609364760508</c:v>
                </c:pt>
                <c:pt idx="39">
                  <c:v>1828.074620769856</c:v>
                </c:pt>
                <c:pt idx="40">
                  <c:v>1855.1883049413918</c:v>
                </c:pt>
                <c:pt idx="41">
                  <c:v>1882.3019889713528</c:v>
                </c:pt>
                <c:pt idx="42">
                  <c:v>1909.4156728361427</c:v>
                </c:pt>
                <c:pt idx="43">
                  <c:v>1936.5293565066142</c:v>
                </c:pt>
                <c:pt idx="44">
                  <c:v>1963.6430399463325</c:v>
                </c:pt>
                <c:pt idx="45">
                  <c:v>1990.7567231091471</c:v>
                </c:pt>
                <c:pt idx="46">
                  <c:v>2017.870405935721</c:v>
                </c:pt>
                <c:pt idx="47">
                  <c:v>2044.9840883484608</c:v>
                </c:pt>
                <c:pt idx="48">
                  <c:v>2072.0977702439086</c:v>
                </c:pt>
                <c:pt idx="49">
                  <c:v>2099.2114514809832</c:v>
                </c:pt>
                <c:pt idx="50">
                  <c:v>2126.3251318621742</c:v>
                </c:pt>
                <c:pt idx="51">
                  <c:v>2153.4388111021876</c:v>
                </c:pt>
                <c:pt idx="52">
                  <c:v>2180.5524887730821</c:v>
                </c:pt>
                <c:pt idx="53">
                  <c:v>2207.666164202381</c:v>
                </c:pt>
                <c:pt idx="54">
                  <c:v>2234.7798362692897</c:v>
                </c:pt>
                <c:pt idx="55">
                  <c:v>2261.893502956385</c:v>
                </c:pt>
                <c:pt idx="56">
                  <c:v>2289.0071602288381</c:v>
                </c:pt>
                <c:pt idx="57">
                  <c:v>2316.1207986721292</c:v>
                </c:pt>
                <c:pt idx="58">
                  <c:v>2343.2343900432584</c:v>
                </c:pt>
                <c:pt idx="59">
                  <c:v>2370.3477931377943</c:v>
                </c:pt>
                <c:pt idx="60">
                  <c:v>2397.3738057461069</c:v>
                </c:pt>
                <c:pt idx="61">
                  <c:v>2410.7919839624515</c:v>
                </c:pt>
                <c:pt idx="62">
                  <c:v>2424.1227716925728</c:v>
                </c:pt>
                <c:pt idx="63">
                  <c:v>2437.4533711461008</c:v>
                </c:pt>
                <c:pt idx="64">
                  <c:v>2450.7839235274669</c:v>
                </c:pt>
                <c:pt idx="65">
                  <c:v>2464.114457079671</c:v>
                </c:pt>
                <c:pt idx="66">
                  <c:v>2477.4449812172329</c:v>
                </c:pt>
                <c:pt idx="67">
                  <c:v>2490.7754999749814</c:v>
                </c:pt>
                <c:pt idx="68">
                  <c:v>2504.1060153703406</c:v>
                </c:pt>
                <c:pt idx="69">
                  <c:v>2517.4365285241033</c:v>
                </c:pt>
                <c:pt idx="70">
                  <c:v>2530.7670401087471</c:v>
                </c:pt>
                <c:pt idx="71">
                  <c:v>2544.0975505522133</c:v>
                </c:pt>
                <c:pt idx="72">
                  <c:v>2557.4280601397959</c:v>
                </c:pt>
                <c:pt idx="73">
                  <c:v>2570.7585690690062</c:v>
                </c:pt>
                <c:pt idx="74">
                  <c:v>2584.0890774809236</c:v>
                </c:pt>
                <c:pt idx="75">
                  <c:v>2597.4195854790069</c:v>
                </c:pt>
                <c:pt idx="76">
                  <c:v>2610.7500931408495</c:v>
                </c:pt>
                <c:pt idx="77">
                  <c:v>2624.0806005257887</c:v>
                </c:pt>
                <c:pt idx="78">
                  <c:v>2637.4111076799741</c:v>
                </c:pt>
                <c:pt idx="79">
                  <c:v>2650.7416146398414</c:v>
                </c:pt>
                <c:pt idx="80">
                  <c:v>2664.0721214345376</c:v>
                </c:pt>
                <c:pt idx="81">
                  <c:v>2677.4026280876592</c:v>
                </c:pt>
                <c:pt idx="82">
                  <c:v>2690.733134618511</c:v>
                </c:pt>
                <c:pt idx="83">
                  <c:v>2704.063641043042</c:v>
                </c:pt>
                <c:pt idx="84">
                  <c:v>2717.3941473745422</c:v>
                </c:pt>
                <c:pt idx="85">
                  <c:v>2730.7246536241751</c:v>
                </c:pt>
                <c:pt idx="86">
                  <c:v>2744.0551598013867</c:v>
                </c:pt>
                <c:pt idx="87">
                  <c:v>2757.3856659142239</c:v>
                </c:pt>
                <c:pt idx="88">
                  <c:v>2770.7161719695846</c:v>
                </c:pt>
                <c:pt idx="89">
                  <c:v>2784.0466779734138</c:v>
                </c:pt>
                <c:pt idx="90">
                  <c:v>2797.3771839308652</c:v>
                </c:pt>
                <c:pt idx="91">
                  <c:v>2810.7076898464265</c:v>
                </c:pt>
                <c:pt idx="92">
                  <c:v>2824.0381957240252</c:v>
                </c:pt>
                <c:pt idx="93">
                  <c:v>2837.3687015671126</c:v>
                </c:pt>
                <c:pt idx="94">
                  <c:v>2850.6992073787333</c:v>
                </c:pt>
                <c:pt idx="95">
                  <c:v>2864.0297131615853</c:v>
                </c:pt>
                <c:pt idx="96">
                  <c:v>2877.3602189180651</c:v>
                </c:pt>
                <c:pt idx="97">
                  <c:v>2890.6907246503115</c:v>
                </c:pt>
                <c:pt idx="98">
                  <c:v>2904.0212303602375</c:v>
                </c:pt>
                <c:pt idx="99">
                  <c:v>2917.3517360495598</c:v>
                </c:pt>
                <c:pt idx="100">
                  <c:v>2930.6822417198241</c:v>
                </c:pt>
                <c:pt idx="101">
                  <c:v>2944.0127473724247</c:v>
                </c:pt>
                <c:pt idx="102">
                  <c:v>2957.3432530086229</c:v>
                </c:pt>
                <c:pt idx="103">
                  <c:v>2970.673758629564</c:v>
                </c:pt>
                <c:pt idx="104">
                  <c:v>2984.0042642362878</c:v>
                </c:pt>
                <c:pt idx="105">
                  <c:v>2997.3347698297416</c:v>
                </c:pt>
                <c:pt idx="106">
                  <c:v>3010.6652754107918</c:v>
                </c:pt>
                <c:pt idx="107">
                  <c:v>3023.9957809802295</c:v>
                </c:pt>
                <c:pt idx="108">
                  <c:v>3037.3262865387806</c:v>
                </c:pt>
                <c:pt idx="109">
                  <c:v>3050.6567920871112</c:v>
                </c:pt>
                <c:pt idx="110">
                  <c:v>3063.9872976258348</c:v>
                </c:pt>
                <c:pt idx="111">
                  <c:v>3077.3178031555171</c:v>
                </c:pt>
                <c:pt idx="112">
                  <c:v>3090.6483086766793</c:v>
                </c:pt>
                <c:pt idx="113">
                  <c:v>3103.9788141898034</c:v>
                </c:pt>
                <c:pt idx="114">
                  <c:v>3117.3093196953364</c:v>
                </c:pt>
                <c:pt idx="115">
                  <c:v>3130.6398251936916</c:v>
                </c:pt>
                <c:pt idx="116">
                  <c:v>3143.9703306852552</c:v>
                </c:pt>
                <c:pt idx="117">
                  <c:v>3157.3008361703828</c:v>
                </c:pt>
                <c:pt idx="118">
                  <c:v>3170.6313416494081</c:v>
                </c:pt>
                <c:pt idx="119">
                  <c:v>3183.9618471226413</c:v>
                </c:pt>
                <c:pt idx="120">
                  <c:v>3197.292352590372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954-4B9F-8C65-1E3A35FFA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63808"/>
        <c:axId val="137094272"/>
      </c:scatterChart>
      <c:valAx>
        <c:axId val="13706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094272"/>
        <c:crosses val="autoZero"/>
        <c:crossBetween val="midCat"/>
      </c:valAx>
      <c:valAx>
        <c:axId val="1370942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7.29998456075345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7063808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2659548778122198E-2"/>
          <c:y val="0.85851741505284818"/>
          <c:w val="0.95054801407742584"/>
          <c:h val="0.115923482537655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ru-RU"/>
              <a:t>Линия регрессии</a:t>
            </a:r>
          </a:p>
        </c:rich>
      </c:tx>
      <c:layout>
        <c:manualLayout>
          <c:xMode val="edge"/>
          <c:yMode val="edge"/>
          <c:x val="0.35712347822235246"/>
          <c:y val="1.069509569730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1177855602290816"/>
          <c:w val="0.85994710661167351"/>
          <c:h val="0.73900675336931199"/>
        </c:manualLayout>
      </c:layout>
      <c:scatterChart>
        <c:scatterStyle val="lineMarker"/>
        <c:varyColors val="0"/>
        <c:ser>
          <c:idx val="1"/>
          <c:order val="0"/>
          <c:tx>
            <c:strRef>
              <c:f>Адекватность!$C$22</c:f>
              <c:strCache>
                <c:ptCount val="1"/>
                <c:pt idx="0">
                  <c:v>y(i)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Адекватность!$B$23:$B$83</c:f>
              <c:numCache>
                <c:formatCode>General</c:formatCode>
                <c:ptCount val="6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  <c:pt idx="51">
                  <c:v>610</c:v>
                </c:pt>
                <c:pt idx="52">
                  <c:v>620</c:v>
                </c:pt>
                <c:pt idx="53">
                  <c:v>630</c:v>
                </c:pt>
                <c:pt idx="54">
                  <c:v>640</c:v>
                </c:pt>
                <c:pt idx="55">
                  <c:v>650</c:v>
                </c:pt>
                <c:pt idx="56">
                  <c:v>660</c:v>
                </c:pt>
                <c:pt idx="57">
                  <c:v>670</c:v>
                </c:pt>
                <c:pt idx="58">
                  <c:v>680</c:v>
                </c:pt>
                <c:pt idx="59">
                  <c:v>690</c:v>
                </c:pt>
                <c:pt idx="60">
                  <c:v>700</c:v>
                </c:pt>
              </c:numCache>
            </c:numRef>
          </c:xVal>
          <c:yVal>
            <c:numRef>
              <c:f>Адекватность!$C$23:$C$83</c:f>
              <c:numCache>
                <c:formatCode>0.000</c:formatCode>
                <c:ptCount val="61"/>
                <c:pt idx="0">
                  <c:v>107.41008640226718</c:v>
                </c:pt>
                <c:pt idx="1">
                  <c:v>271.6177874266773</c:v>
                </c:pt>
                <c:pt idx="2">
                  <c:v>269.82252037707923</c:v>
                </c:pt>
                <c:pt idx="3">
                  <c:v>-29.343575641474501</c:v>
                </c:pt>
                <c:pt idx="4">
                  <c:v>585.15574617625111</c:v>
                </c:pt>
                <c:pt idx="5">
                  <c:v>-89.925996493776154</c:v>
                </c:pt>
                <c:pt idx="6">
                  <c:v>262.86336955326999</c:v>
                </c:pt>
                <c:pt idx="7">
                  <c:v>66.30336115503394</c:v>
                </c:pt>
                <c:pt idx="8">
                  <c:v>321.23648201565811</c:v>
                </c:pt>
                <c:pt idx="9">
                  <c:v>380.45172829166165</c:v>
                </c:pt>
                <c:pt idx="10">
                  <c:v>469.43349982226346</c:v>
                </c:pt>
                <c:pt idx="11">
                  <c:v>498.19819214399956</c:v>
                </c:pt>
                <c:pt idx="12">
                  <c:v>370.70495899933104</c:v>
                </c:pt>
                <c:pt idx="13">
                  <c:v>362.9382499533998</c:v>
                </c:pt>
                <c:pt idx="14">
                  <c:v>398.03702137965922</c:v>
                </c:pt>
                <c:pt idx="15">
                  <c:v>458.89386584054944</c:v>
                </c:pt>
                <c:pt idx="16">
                  <c:v>306.29447748811896</c:v>
                </c:pt>
                <c:pt idx="17">
                  <c:v>449.50313149378877</c:v>
                </c:pt>
                <c:pt idx="18">
                  <c:v>562.93170354804363</c:v>
                </c:pt>
                <c:pt idx="19">
                  <c:v>1001.4117595074047</c:v>
                </c:pt>
                <c:pt idx="20">
                  <c:v>509.8627365558973</c:v>
                </c:pt>
                <c:pt idx="21">
                  <c:v>799.83406879411234</c:v>
                </c:pt>
                <c:pt idx="22">
                  <c:v>661.36609127405563</c:v>
                </c:pt>
                <c:pt idx="23">
                  <c:v>863.26937288690965</c:v>
                </c:pt>
                <c:pt idx="24">
                  <c:v>728.4186639356866</c:v>
                </c:pt>
                <c:pt idx="25">
                  <c:v>1011.3414729016724</c:v>
                </c:pt>
                <c:pt idx="26">
                  <c:v>645.1286247780788</c:v>
                </c:pt>
                <c:pt idx="27">
                  <c:v>1019.7167048737972</c:v>
                </c:pt>
                <c:pt idx="28">
                  <c:v>937.25890632442315</c:v>
                </c:pt>
                <c:pt idx="29">
                  <c:v>593.14232424659269</c:v>
                </c:pt>
                <c:pt idx="30">
                  <c:v>1078.5318364902307</c:v>
                </c:pt>
                <c:pt idx="31">
                  <c:v>901.76989407453004</c:v>
                </c:pt>
                <c:pt idx="32">
                  <c:v>1106.3571841283156</c:v>
                </c:pt>
                <c:pt idx="33">
                  <c:v>924.92063340190828</c:v>
                </c:pt>
                <c:pt idx="34">
                  <c:v>1007.2483590419409</c:v>
                </c:pt>
                <c:pt idx="35">
                  <c:v>738.55772634825325</c:v>
                </c:pt>
                <c:pt idx="36">
                  <c:v>898.02909584149234</c:v>
                </c:pt>
                <c:pt idx="37">
                  <c:v>958.83051082058398</c:v>
                </c:pt>
                <c:pt idx="38">
                  <c:v>759.76568852275238</c:v>
                </c:pt>
                <c:pt idx="39">
                  <c:v>988.66180393346474</c:v>
                </c:pt>
                <c:pt idx="40">
                  <c:v>1155.8161717603473</c:v>
                </c:pt>
                <c:pt idx="41">
                  <c:v>903.18726131990002</c:v>
                </c:pt>
                <c:pt idx="42">
                  <c:v>1237.2766834807103</c:v>
                </c:pt>
                <c:pt idx="43">
                  <c:v>1191.5117184333881</c:v>
                </c:pt>
                <c:pt idx="44">
                  <c:v>1017.9250395702047</c:v>
                </c:pt>
                <c:pt idx="45">
                  <c:v>865.09515682049357</c:v>
                </c:pt>
                <c:pt idx="46">
                  <c:v>1175.3115800494361</c:v>
                </c:pt>
                <c:pt idx="47">
                  <c:v>1324.7737704041115</c:v>
                </c:pt>
                <c:pt idx="48">
                  <c:v>1157.8078398236746</c:v>
                </c:pt>
                <c:pt idx="49">
                  <c:v>1141.1520853258985</c:v>
                </c:pt>
                <c:pt idx="50">
                  <c:v>1253.6806150359305</c:v>
                </c:pt>
                <c:pt idx="51">
                  <c:v>1514.0229089310342</c:v>
                </c:pt>
                <c:pt idx="52">
                  <c:v>1215.4657742595812</c:v>
                </c:pt>
                <c:pt idx="53">
                  <c:v>1263.2692765062932</c:v>
                </c:pt>
                <c:pt idx="54">
                  <c:v>1472.4135103930118</c:v>
                </c:pt>
                <c:pt idx="55">
                  <c:v>1536.4477744900773</c:v>
                </c:pt>
                <c:pt idx="56">
                  <c:v>1311.2748136833493</c:v>
                </c:pt>
                <c:pt idx="57">
                  <c:v>1401.4855128862928</c:v>
                </c:pt>
                <c:pt idx="58">
                  <c:v>1440.7637528078069</c:v>
                </c:pt>
                <c:pt idx="59">
                  <c:v>1402.4042644582555</c:v>
                </c:pt>
                <c:pt idx="60">
                  <c:v>1365.2292759200859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EA-49E2-A614-633C144ED947}"/>
            </c:ext>
          </c:extLst>
        </c:ser>
        <c:ser>
          <c:idx val="0"/>
          <c:order val="1"/>
          <c:tx>
            <c:strRef>
              <c:f>Адекватность!$G$22</c:f>
              <c:strCache>
                <c:ptCount val="1"/>
                <c:pt idx="0">
                  <c:v>Y линия регрессии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Адекватность!$F$23:$F$24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xVal>
          <c:yVal>
            <c:numRef>
              <c:f>Адекватность!$G$23:$G$24</c:f>
              <c:numCache>
                <c:formatCode>0.000</c:formatCode>
                <c:ptCount val="2"/>
                <c:pt idx="0">
                  <c:v>-52.415401280224728</c:v>
                </c:pt>
                <c:pt idx="1">
                  <c:v>1708.2273637383819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EA-49E2-A614-633C144ED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32736"/>
        <c:axId val="136987776"/>
      </c:scatterChart>
      <c:valAx>
        <c:axId val="136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987776"/>
        <c:crosses val="autoZero"/>
        <c:crossBetween val="midCat"/>
      </c:valAx>
      <c:valAx>
        <c:axId val="136987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7.29998456075345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69327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6182199332854046E-2"/>
          <c:y val="0.92967855141702793"/>
          <c:w val="0.45260874342820345"/>
          <c:h val="6.77262673626470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Адекватность!$M$21</c:f>
          <c:strCache>
            <c:ptCount val="1"/>
            <c:pt idx="0">
              <c:v>График проверки остатков на нормальность </c:v>
            </c:pt>
          </c:strCache>
        </c:strRef>
      </c:tx>
      <c:layout>
        <c:manualLayout>
          <c:xMode val="edge"/>
          <c:yMode val="edge"/>
          <c:x val="0.15302308980996873"/>
          <c:y val="1.7101927537764221E-2"/>
        </c:manualLayout>
      </c:layout>
      <c:overlay val="0"/>
      <c:txPr>
        <a:bodyPr/>
        <a:lstStyle/>
        <a:p>
          <a:pPr>
            <a:defRPr sz="11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7476829068241471E-2"/>
          <c:y val="0.11989836522340359"/>
          <c:w val="0.88918187552137373"/>
          <c:h val="0.82573269633430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Адекватность!$N$22</c:f>
              <c:strCache>
                <c:ptCount val="1"/>
                <c:pt idx="0">
                  <c:v>Остатки (сортированный список)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trendline>
            <c:trendlineType val="linear"/>
            <c:dispRSqr val="0"/>
            <c:dispEq val="0"/>
          </c:trendline>
          <c:xVal>
            <c:numRef>
              <c:f>Адекватность!$M$23:$M$83</c:f>
              <c:numCache>
                <c:formatCode>0.000</c:formatCode>
                <c:ptCount val="61"/>
                <c:pt idx="0">
                  <c:v>-2.4000363771273889</c:v>
                </c:pt>
                <c:pt idx="1">
                  <c:v>-1.9670250071019253</c:v>
                </c:pt>
                <c:pt idx="2">
                  <c:v>-1.7393841569195561</c:v>
                </c:pt>
                <c:pt idx="3">
                  <c:v>-1.5771800660678663</c:v>
                </c:pt>
                <c:pt idx="4">
                  <c:v>-1.4482720415077504</c:v>
                </c:pt>
                <c:pt idx="5">
                  <c:v>-1.3397462093910992</c:v>
                </c:pt>
                <c:pt idx="6">
                  <c:v>-1.2450462387740626</c:v>
                </c:pt>
                <c:pt idx="7">
                  <c:v>-1.1603615380941534</c:v>
                </c:pt>
                <c:pt idx="8">
                  <c:v>-1.0832701634896718</c:v>
                </c:pt>
                <c:pt idx="9">
                  <c:v>-1.0121310253729572</c:v>
                </c:pt>
                <c:pt idx="10">
                  <c:v>-0.94577708618931966</c:v>
                </c:pt>
                <c:pt idx="11">
                  <c:v>-0.88334632750869224</c:v>
                </c:pt>
                <c:pt idx="12">
                  <c:v>-0.82418215399637573</c:v>
                </c:pt>
                <c:pt idx="13">
                  <c:v>-0.76777149733342365</c:v>
                </c:pt>
                <c:pt idx="14">
                  <c:v>-0.7137046409102612</c:v>
                </c:pt>
                <c:pt idx="15">
                  <c:v>-0.66164818150675131</c:v>
                </c:pt>
                <c:pt idx="16">
                  <c:v>-0.6113262645170503</c:v>
                </c:pt>
                <c:pt idx="17">
                  <c:v>-0.56250721125482239</c:v>
                </c:pt>
                <c:pt idx="18">
                  <c:v>-0.51499376488951132</c:v>
                </c:pt>
                <c:pt idx="19">
                  <c:v>-0.46861582700232868</c:v>
                </c:pt>
                <c:pt idx="20">
                  <c:v>-0.42322494632168806</c:v>
                </c:pt>
                <c:pt idx="21">
                  <c:v>-0.37869006372459074</c:v>
                </c:pt>
                <c:pt idx="22">
                  <c:v>-0.33489417272961575</c:v>
                </c:pt>
                <c:pt idx="23">
                  <c:v>-0.29173165634387793</c:v>
                </c:pt>
                <c:pt idx="24">
                  <c:v>-0.24910612912047844</c:v>
                </c:pt>
                <c:pt idx="25">
                  <c:v>-0.20692865960210596</c:v>
                </c:pt>
                <c:pt idx="26">
                  <c:v>-0.16511628036201545</c:v>
                </c:pt>
                <c:pt idx="27">
                  <c:v>-0.12359071527033426</c:v>
                </c:pt>
                <c:pt idx="28">
                  <c:v>-8.2277269409773535E-2</c:v>
                </c:pt>
                <c:pt idx="29">
                  <c:v>-4.1103838195111958E-2</c:v>
                </c:pt>
                <c:pt idx="30">
                  <c:v>0</c:v>
                </c:pt>
                <c:pt idx="31">
                  <c:v>4.1103838195111958E-2</c:v>
                </c:pt>
                <c:pt idx="32">
                  <c:v>8.2277269409773673E-2</c:v>
                </c:pt>
                <c:pt idx="33">
                  <c:v>0.1235907152703344</c:v>
                </c:pt>
                <c:pt idx="34">
                  <c:v>0.16511628036201531</c:v>
                </c:pt>
                <c:pt idx="35">
                  <c:v>0.20692865960210596</c:v>
                </c:pt>
                <c:pt idx="36">
                  <c:v>0.24910612912047844</c:v>
                </c:pt>
                <c:pt idx="37">
                  <c:v>0.29173165634387793</c:v>
                </c:pt>
                <c:pt idx="38">
                  <c:v>0.33489417272961586</c:v>
                </c:pt>
                <c:pt idx="39">
                  <c:v>0.37869006372459091</c:v>
                </c:pt>
                <c:pt idx="40">
                  <c:v>0.42322494632168789</c:v>
                </c:pt>
                <c:pt idx="41">
                  <c:v>0.46861582700232868</c:v>
                </c:pt>
                <c:pt idx="42">
                  <c:v>0.51499376488951132</c:v>
                </c:pt>
                <c:pt idx="43">
                  <c:v>0.56250721125482239</c:v>
                </c:pt>
                <c:pt idx="44">
                  <c:v>0.6113262645170503</c:v>
                </c:pt>
                <c:pt idx="45">
                  <c:v>0.66164818150675164</c:v>
                </c:pt>
                <c:pt idx="46">
                  <c:v>0.71370464091026031</c:v>
                </c:pt>
                <c:pt idx="47">
                  <c:v>0.76777149733342365</c:v>
                </c:pt>
                <c:pt idx="48">
                  <c:v>0.82418215399637573</c:v>
                </c:pt>
                <c:pt idx="49">
                  <c:v>0.88334632750869224</c:v>
                </c:pt>
                <c:pt idx="50">
                  <c:v>0.94577708618931966</c:v>
                </c:pt>
                <c:pt idx="51">
                  <c:v>1.0121310253729585</c:v>
                </c:pt>
                <c:pt idx="52">
                  <c:v>1.0832701634896713</c:v>
                </c:pt>
                <c:pt idx="53">
                  <c:v>1.1603615380941534</c:v>
                </c:pt>
                <c:pt idx="54">
                  <c:v>1.2450462387740626</c:v>
                </c:pt>
                <c:pt idx="55">
                  <c:v>1.3397462093910992</c:v>
                </c:pt>
                <c:pt idx="56">
                  <c:v>1.4482720415077512</c:v>
                </c:pt>
                <c:pt idx="57">
                  <c:v>1.5771800660678668</c:v>
                </c:pt>
                <c:pt idx="58">
                  <c:v>1.7393841569195554</c:v>
                </c:pt>
                <c:pt idx="59">
                  <c:v>1.9670250071019251</c:v>
                </c:pt>
                <c:pt idx="60">
                  <c:v>2.4000363771273889</c:v>
                </c:pt>
              </c:numCache>
            </c:numRef>
          </c:xVal>
          <c:yVal>
            <c:numRef>
              <c:f>Адекватность!$N$23:$N$83</c:f>
              <c:numCache>
                <c:formatCode>0.000</c:formatCode>
                <c:ptCount val="61"/>
                <c:pt idx="0">
                  <c:v>-430.43082584044868</c:v>
                </c:pt>
                <c:pt idx="1">
                  <c:v>-329.90070064051434</c:v>
                </c:pt>
                <c:pt idx="2">
                  <c:v>-314.14917253927132</c:v>
                </c:pt>
                <c:pt idx="3">
                  <c:v>-274.36375947883346</c:v>
                </c:pt>
                <c:pt idx="4">
                  <c:v>-253.92272577053365</c:v>
                </c:pt>
                <c:pt idx="5">
                  <c:v>-239.87626255986015</c:v>
                </c:pt>
                <c:pt idx="6">
                  <c:v>-226.73495727167256</c:v>
                </c:pt>
                <c:pt idx="7">
                  <c:v>-201.16266821291026</c:v>
                </c:pt>
                <c:pt idx="8">
                  <c:v>-156.37624628416165</c:v>
                </c:pt>
                <c:pt idx="9">
                  <c:v>-137.35739678380367</c:v>
                </c:pt>
                <c:pt idx="10">
                  <c:v>-133.22548207532355</c:v>
                </c:pt>
                <c:pt idx="11">
                  <c:v>-130.68792393868017</c:v>
                </c:pt>
                <c:pt idx="12">
                  <c:v>-130.24987539802066</c:v>
                </c:pt>
                <c:pt idx="13">
                  <c:v>-122.23247753136059</c:v>
                </c:pt>
                <c:pt idx="14">
                  <c:v>-114.82710021873743</c:v>
                </c:pt>
                <c:pt idx="15">
                  <c:v>-109.61683556405603</c:v>
                </c:pt>
                <c:pt idx="16">
                  <c:v>-101.56002455530597</c:v>
                </c:pt>
                <c:pt idx="17">
                  <c:v>-97.615311967218929</c:v>
                </c:pt>
                <c:pt idx="18">
                  <c:v>-81.349485244286711</c:v>
                </c:pt>
                <c:pt idx="19">
                  <c:v>-79.189903852463544</c:v>
                </c:pt>
                <c:pt idx="20">
                  <c:v>-78.202239668693892</c:v>
                </c:pt>
                <c:pt idx="21">
                  <c:v>-73.837422986486672</c:v>
                </c:pt>
                <c:pt idx="22">
                  <c:v>-63.810107256460697</c:v>
                </c:pt>
                <c:pt idx="23">
                  <c:v>-61.665150893487521</c:v>
                </c:pt>
                <c:pt idx="24">
                  <c:v>-47.89647652795793</c:v>
                </c:pt>
                <c:pt idx="25">
                  <c:v>-41.572632997101437</c:v>
                </c:pt>
                <c:pt idx="26">
                  <c:v>-39.948509750276344</c:v>
                </c:pt>
                <c:pt idx="27">
                  <c:v>-37.233204058241654</c:v>
                </c:pt>
                <c:pt idx="28">
                  <c:v>-35.980457183565022</c:v>
                </c:pt>
                <c:pt idx="29">
                  <c:v>-30.95399932296425</c:v>
                </c:pt>
                <c:pt idx="30">
                  <c:v>-20.837588088212215</c:v>
                </c:pt>
                <c:pt idx="31">
                  <c:v>-18.694225027495122</c:v>
                </c:pt>
                <c:pt idx="32">
                  <c:v>-16.688582274500732</c:v>
                </c:pt>
                <c:pt idx="33">
                  <c:v>-10.760752448144217</c:v>
                </c:pt>
                <c:pt idx="34">
                  <c:v>8.4106432865031593</c:v>
                </c:pt>
                <c:pt idx="35">
                  <c:v>11.008366775270247</c:v>
                </c:pt>
                <c:pt idx="36">
                  <c:v>14.352437867521758</c:v>
                </c:pt>
                <c:pt idx="37">
                  <c:v>15.878811576292719</c:v>
                </c:pt>
                <c:pt idx="38">
                  <c:v>22.340370501169218</c:v>
                </c:pt>
                <c:pt idx="39">
                  <c:v>25.147943188377553</c:v>
                </c:pt>
                <c:pt idx="40">
                  <c:v>29.059409606509064</c:v>
                </c:pt>
                <c:pt idx="41">
                  <c:v>37.85024975442883</c:v>
                </c:pt>
                <c:pt idx="42">
                  <c:v>41.644758248866992</c:v>
                </c:pt>
                <c:pt idx="43">
                  <c:v>41.944908208632</c:v>
                </c:pt>
                <c:pt idx="44">
                  <c:v>87.501816654593881</c:v>
                </c:pt>
                <c:pt idx="45">
                  <c:v>92.000506481693719</c:v>
                </c:pt>
                <c:pt idx="46">
                  <c:v>116.22651633010196</c:v>
                </c:pt>
                <c:pt idx="47">
                  <c:v>137.35547697997424</c:v>
                </c:pt>
                <c:pt idx="48">
                  <c:v>139.74760466637792</c:v>
                </c:pt>
                <c:pt idx="49">
                  <c:v>145.36714975715176</c:v>
                </c:pt>
                <c:pt idx="50">
                  <c:v>153.1899245293373</c:v>
                </c:pt>
                <c:pt idx="51">
                  <c:v>157.73932370283228</c:v>
                </c:pt>
                <c:pt idx="52">
                  <c:v>163.23520441154255</c:v>
                </c:pt>
                <c:pt idx="53">
                  <c:v>197.25033645258645</c:v>
                </c:pt>
                <c:pt idx="54">
                  <c:v>226.55834608860118</c:v>
                </c:pt>
                <c:pt idx="55">
                  <c:v>238.68070279814901</c:v>
                </c:pt>
                <c:pt idx="56">
                  <c:v>239.78712770316463</c:v>
                </c:pt>
                <c:pt idx="57">
                  <c:v>254.72087958880866</c:v>
                </c:pt>
                <c:pt idx="58">
                  <c:v>264.62476900339493</c:v>
                </c:pt>
                <c:pt idx="59">
                  <c:v>271.35960007867254</c:v>
                </c:pt>
                <c:pt idx="60">
                  <c:v>381.27299972730304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E-4ABA-9D33-9D9AEC323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80864"/>
        <c:axId val="138187136"/>
      </c:scatterChart>
      <c:valAx>
        <c:axId val="138180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3329169125177183"/>
              <c:y val="0.9417396561384883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38187136"/>
        <c:crosses val="autoZero"/>
        <c:crossBetween val="midCat"/>
      </c:valAx>
      <c:valAx>
        <c:axId val="1381871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8180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>
                <a:solidFill>
                  <a:sysClr val="windowText" lastClr="000000"/>
                </a:solidFill>
              </a:defRPr>
            </a:pPr>
            <a:r>
              <a:rPr lang="ru-RU">
                <a:solidFill>
                  <a:sysClr val="windowText" lastClr="000000"/>
                </a:solidFill>
              </a:rPr>
              <a:t>Остатки и</a:t>
            </a:r>
            <a:r>
              <a:rPr lang="ru-RU" baseline="0">
                <a:solidFill>
                  <a:sysClr val="windowText" lastClr="000000"/>
                </a:solidFill>
              </a:rPr>
              <a:t> </a:t>
            </a:r>
            <a:r>
              <a:rPr lang="ru-RU">
                <a:solidFill>
                  <a:sysClr val="windowText" lastClr="000000"/>
                </a:solidFill>
              </a:rPr>
              <a:t>Предсказанные значения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66016795885161"/>
          <c:y val="1.069509569730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866849508979917"/>
          <c:w val="0.85994710661167351"/>
          <c:h val="0.66410038632811352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Адекватность!$D$23:$D$83</c:f>
              <c:numCache>
                <c:formatCode>0.000</c:formatCode>
                <c:ptCount val="61"/>
                <c:pt idx="0">
                  <c:v>240.63556847759074</c:v>
                </c:pt>
                <c:pt idx="1">
                  <c:v>260.60942065140705</c:v>
                </c:pt>
                <c:pt idx="2">
                  <c:v>280.58327282522345</c:v>
                </c:pt>
                <c:pt idx="3">
                  <c:v>300.55712499903984</c:v>
                </c:pt>
                <c:pt idx="4">
                  <c:v>320.53097717285618</c:v>
                </c:pt>
                <c:pt idx="5">
                  <c:v>340.50482934667252</c:v>
                </c:pt>
                <c:pt idx="6">
                  <c:v>360.47868152048892</c:v>
                </c:pt>
                <c:pt idx="7">
                  <c:v>380.45253369430526</c:v>
                </c:pt>
                <c:pt idx="8">
                  <c:v>400.42638586812166</c:v>
                </c:pt>
                <c:pt idx="9">
                  <c:v>420.400238041938</c:v>
                </c:pt>
                <c:pt idx="10">
                  <c:v>440.37409021575439</c:v>
                </c:pt>
                <c:pt idx="11">
                  <c:v>460.34794238957073</c:v>
                </c:pt>
                <c:pt idx="12">
                  <c:v>480.32179456338707</c:v>
                </c:pt>
                <c:pt idx="13">
                  <c:v>500.29564673720347</c:v>
                </c:pt>
                <c:pt idx="14">
                  <c:v>520.26949891101981</c:v>
                </c:pt>
                <c:pt idx="15">
                  <c:v>540.24335108483615</c:v>
                </c:pt>
                <c:pt idx="16">
                  <c:v>560.2172032586526</c:v>
                </c:pt>
                <c:pt idx="17">
                  <c:v>580.19105543246894</c:v>
                </c:pt>
                <c:pt idx="18">
                  <c:v>600.16490760628528</c:v>
                </c:pt>
                <c:pt idx="19">
                  <c:v>620.13875978010162</c:v>
                </c:pt>
                <c:pt idx="20">
                  <c:v>640.11261195391796</c:v>
                </c:pt>
                <c:pt idx="21">
                  <c:v>660.08646412773442</c:v>
                </c:pt>
                <c:pt idx="22">
                  <c:v>680.06031630155076</c:v>
                </c:pt>
                <c:pt idx="23">
                  <c:v>700.0341684753671</c:v>
                </c:pt>
                <c:pt idx="24">
                  <c:v>720.00802064918344</c:v>
                </c:pt>
                <c:pt idx="25">
                  <c:v>739.98187282299989</c:v>
                </c:pt>
                <c:pt idx="26">
                  <c:v>759.95572499681623</c:v>
                </c:pt>
                <c:pt idx="27">
                  <c:v>779.92957717063257</c:v>
                </c:pt>
                <c:pt idx="28">
                  <c:v>799.90342934444891</c:v>
                </c:pt>
                <c:pt idx="29">
                  <c:v>819.87728151826525</c:v>
                </c:pt>
                <c:pt idx="30">
                  <c:v>839.8511336920817</c:v>
                </c:pt>
                <c:pt idx="31">
                  <c:v>859.82498586589804</c:v>
                </c:pt>
                <c:pt idx="32">
                  <c:v>879.79883803971438</c:v>
                </c:pt>
                <c:pt idx="33">
                  <c:v>899.77269021353072</c:v>
                </c:pt>
                <c:pt idx="34">
                  <c:v>919.74654238734706</c:v>
                </c:pt>
                <c:pt idx="35">
                  <c:v>939.72039456116352</c:v>
                </c:pt>
                <c:pt idx="36">
                  <c:v>959.69424673497986</c:v>
                </c:pt>
                <c:pt idx="37">
                  <c:v>979.6680989087962</c:v>
                </c:pt>
                <c:pt idx="38">
                  <c:v>999.64195108261254</c:v>
                </c:pt>
                <c:pt idx="39">
                  <c:v>1019.615803256429</c:v>
                </c:pt>
                <c:pt idx="40">
                  <c:v>1039.5896554302453</c:v>
                </c:pt>
                <c:pt idx="41">
                  <c:v>1059.5635076040617</c:v>
                </c:pt>
                <c:pt idx="42">
                  <c:v>1079.537359777878</c:v>
                </c:pt>
                <c:pt idx="43">
                  <c:v>1099.5112119516943</c:v>
                </c:pt>
                <c:pt idx="44">
                  <c:v>1119.4850641255107</c:v>
                </c:pt>
                <c:pt idx="45">
                  <c:v>1139.458916299327</c:v>
                </c:pt>
                <c:pt idx="46">
                  <c:v>1159.4327684731434</c:v>
                </c:pt>
                <c:pt idx="47">
                  <c:v>1179.4066206469597</c:v>
                </c:pt>
                <c:pt idx="48">
                  <c:v>1199.380472820776</c:v>
                </c:pt>
                <c:pt idx="49">
                  <c:v>1219.3543249945924</c:v>
                </c:pt>
                <c:pt idx="50">
                  <c:v>1239.3281771684087</c:v>
                </c:pt>
                <c:pt idx="51">
                  <c:v>1259.3020293422255</c:v>
                </c:pt>
                <c:pt idx="52">
                  <c:v>1279.2758815160419</c:v>
                </c:pt>
                <c:pt idx="53">
                  <c:v>1299.2497336898582</c:v>
                </c:pt>
                <c:pt idx="54">
                  <c:v>1319.2235858636745</c:v>
                </c:pt>
                <c:pt idx="55">
                  <c:v>1339.1974380374909</c:v>
                </c:pt>
                <c:pt idx="56">
                  <c:v>1359.1712902113072</c:v>
                </c:pt>
                <c:pt idx="57">
                  <c:v>1379.1451423851236</c:v>
                </c:pt>
                <c:pt idx="58">
                  <c:v>1399.1189945589399</c:v>
                </c:pt>
                <c:pt idx="59">
                  <c:v>1419.0928467327562</c:v>
                </c:pt>
                <c:pt idx="60">
                  <c:v>1439.0666989065726</c:v>
                </c:pt>
              </c:numCache>
            </c:numRef>
          </c:xVal>
          <c:yVal>
            <c:numRef>
              <c:f>Адекватность!$K$23:$K$83</c:f>
              <c:numCache>
                <c:formatCode>0.000</c:formatCode>
                <c:ptCount val="61"/>
                <c:pt idx="0">
                  <c:v>-133.22548207532355</c:v>
                </c:pt>
                <c:pt idx="1">
                  <c:v>11.008366775270247</c:v>
                </c:pt>
                <c:pt idx="2">
                  <c:v>-10.760752448144217</c:v>
                </c:pt>
                <c:pt idx="3">
                  <c:v>-329.90070064051434</c:v>
                </c:pt>
                <c:pt idx="4">
                  <c:v>264.62476900339493</c:v>
                </c:pt>
                <c:pt idx="5">
                  <c:v>-430.43082584044868</c:v>
                </c:pt>
                <c:pt idx="6">
                  <c:v>-97.615311967218929</c:v>
                </c:pt>
                <c:pt idx="7">
                  <c:v>-314.14917253927132</c:v>
                </c:pt>
                <c:pt idx="8">
                  <c:v>-79.189903852463544</c:v>
                </c:pt>
                <c:pt idx="9">
                  <c:v>-39.948509750276344</c:v>
                </c:pt>
                <c:pt idx="10">
                  <c:v>29.059409606509064</c:v>
                </c:pt>
                <c:pt idx="11">
                  <c:v>37.85024975442883</c:v>
                </c:pt>
                <c:pt idx="12">
                  <c:v>-109.61683556405603</c:v>
                </c:pt>
                <c:pt idx="13">
                  <c:v>-137.35739678380367</c:v>
                </c:pt>
                <c:pt idx="14">
                  <c:v>-122.23247753136059</c:v>
                </c:pt>
                <c:pt idx="15">
                  <c:v>-81.349485244286711</c:v>
                </c:pt>
                <c:pt idx="16">
                  <c:v>-253.92272577053365</c:v>
                </c:pt>
                <c:pt idx="17">
                  <c:v>-130.68792393868017</c:v>
                </c:pt>
                <c:pt idx="18">
                  <c:v>-37.233204058241654</c:v>
                </c:pt>
                <c:pt idx="19">
                  <c:v>381.27299972730304</c:v>
                </c:pt>
                <c:pt idx="20">
                  <c:v>-130.24987539802066</c:v>
                </c:pt>
                <c:pt idx="21">
                  <c:v>139.74760466637792</c:v>
                </c:pt>
                <c:pt idx="22">
                  <c:v>-18.694225027495122</c:v>
                </c:pt>
                <c:pt idx="23">
                  <c:v>163.23520441154255</c:v>
                </c:pt>
                <c:pt idx="24">
                  <c:v>8.4106432865031593</c:v>
                </c:pt>
                <c:pt idx="25">
                  <c:v>271.35960007867254</c:v>
                </c:pt>
                <c:pt idx="26">
                  <c:v>-114.82710021873743</c:v>
                </c:pt>
                <c:pt idx="27">
                  <c:v>239.78712770316463</c:v>
                </c:pt>
                <c:pt idx="28">
                  <c:v>137.35547697997424</c:v>
                </c:pt>
                <c:pt idx="29">
                  <c:v>-226.73495727167256</c:v>
                </c:pt>
                <c:pt idx="30">
                  <c:v>238.68070279814901</c:v>
                </c:pt>
                <c:pt idx="31">
                  <c:v>41.944908208632</c:v>
                </c:pt>
                <c:pt idx="32">
                  <c:v>226.55834608860118</c:v>
                </c:pt>
                <c:pt idx="33">
                  <c:v>25.147943188377553</c:v>
                </c:pt>
                <c:pt idx="34">
                  <c:v>87.501816654593881</c:v>
                </c:pt>
                <c:pt idx="35">
                  <c:v>-201.16266821291026</c:v>
                </c:pt>
                <c:pt idx="36">
                  <c:v>-61.665150893487521</c:v>
                </c:pt>
                <c:pt idx="37">
                  <c:v>-20.837588088212215</c:v>
                </c:pt>
                <c:pt idx="38">
                  <c:v>-239.87626255986015</c:v>
                </c:pt>
                <c:pt idx="39">
                  <c:v>-30.95399932296425</c:v>
                </c:pt>
                <c:pt idx="40">
                  <c:v>116.22651633010196</c:v>
                </c:pt>
                <c:pt idx="41">
                  <c:v>-156.37624628416165</c:v>
                </c:pt>
                <c:pt idx="42">
                  <c:v>157.73932370283228</c:v>
                </c:pt>
                <c:pt idx="43">
                  <c:v>92.000506481693719</c:v>
                </c:pt>
                <c:pt idx="44">
                  <c:v>-101.56002455530597</c:v>
                </c:pt>
                <c:pt idx="45">
                  <c:v>-274.36375947883346</c:v>
                </c:pt>
                <c:pt idx="46">
                  <c:v>15.878811576292719</c:v>
                </c:pt>
                <c:pt idx="47">
                  <c:v>145.36714975715176</c:v>
                </c:pt>
                <c:pt idx="48">
                  <c:v>-41.572632997101437</c:v>
                </c:pt>
                <c:pt idx="49">
                  <c:v>-78.202239668693892</c:v>
                </c:pt>
                <c:pt idx="50">
                  <c:v>14.352437867521758</c:v>
                </c:pt>
                <c:pt idx="51">
                  <c:v>254.72087958880866</c:v>
                </c:pt>
                <c:pt idx="52">
                  <c:v>-63.810107256460697</c:v>
                </c:pt>
                <c:pt idx="53">
                  <c:v>-35.980457183565022</c:v>
                </c:pt>
                <c:pt idx="54">
                  <c:v>153.1899245293373</c:v>
                </c:pt>
                <c:pt idx="55">
                  <c:v>197.25033645258645</c:v>
                </c:pt>
                <c:pt idx="56">
                  <c:v>-47.89647652795793</c:v>
                </c:pt>
                <c:pt idx="57">
                  <c:v>22.340370501169218</c:v>
                </c:pt>
                <c:pt idx="58">
                  <c:v>41.644758248866992</c:v>
                </c:pt>
                <c:pt idx="59">
                  <c:v>-16.688582274500732</c:v>
                </c:pt>
                <c:pt idx="60">
                  <c:v>-73.837422986486672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C9-48DD-B4C1-CE99C53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74176"/>
        <c:axId val="138676096"/>
      </c:scatterChart>
      <c:valAx>
        <c:axId val="13867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Предсказанные значения </a:t>
                </a:r>
                <a:r>
                  <a:rPr lang="en-US">
                    <a:latin typeface="Arial"/>
                    <a:cs typeface="Arial"/>
                  </a:rPr>
                  <a:t>Ŷ</a:t>
                </a:r>
                <a:r>
                  <a:rPr lang="en-US" baseline="-25000">
                    <a:latin typeface="Arial"/>
                    <a:cs typeface="Arial"/>
                  </a:rPr>
                  <a:t>i</a:t>
                </a:r>
                <a:endParaRPr lang="ru-RU" baseline="-250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8676096"/>
        <c:crosses val="autoZero"/>
        <c:crossBetween val="midCat"/>
      </c:valAx>
      <c:valAx>
        <c:axId val="1386760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Остатки</a:t>
                </a:r>
                <a:r>
                  <a:rPr lang="en-US"/>
                  <a:t> e</a:t>
                </a:r>
                <a:r>
                  <a:rPr lang="en-US" baseline="-25000"/>
                  <a:t>i</a:t>
                </a:r>
                <a:endParaRPr lang="ru-RU" baseline="-25000"/>
              </a:p>
            </c:rich>
          </c:tx>
          <c:layout>
            <c:manualLayout>
              <c:xMode val="edge"/>
              <c:yMode val="edge"/>
              <c:x val="7.677543186180422E-3"/>
              <c:y val="0.100933085611489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8674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ru-RU"/>
              <a:t>Линия регрессии</a:t>
            </a:r>
          </a:p>
        </c:rich>
      </c:tx>
      <c:layout>
        <c:manualLayout>
          <c:xMode val="edge"/>
          <c:yMode val="edge"/>
          <c:x val="0.35712347822235246"/>
          <c:y val="1.069509569730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1177855602290816"/>
          <c:w val="0.85994710661167351"/>
          <c:h val="0.73900675336931199"/>
        </c:manualLayout>
      </c:layout>
      <c:scatterChart>
        <c:scatterStyle val="lineMarker"/>
        <c:varyColors val="0"/>
        <c:ser>
          <c:idx val="1"/>
          <c:order val="0"/>
          <c:tx>
            <c:strRef>
              <c:f>Надстройка!$C$22</c:f>
              <c:strCache>
                <c:ptCount val="1"/>
                <c:pt idx="0">
                  <c:v>y(i)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Надстройка!$B$23:$B$62</c:f>
              <c:numCache>
                <c:formatCode>General</c:formatCode>
                <c:ptCount val="4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</c:numCache>
            </c:numRef>
          </c:xVal>
          <c:yVal>
            <c:numRef>
              <c:f>Надстройка!$C$23:$C$62</c:f>
              <c:numCache>
                <c:formatCode>0.000</c:formatCode>
                <c:ptCount val="40"/>
                <c:pt idx="0">
                  <c:v>319.0943851214497</c:v>
                </c:pt>
                <c:pt idx="1">
                  <c:v>155.89206331051059</c:v>
                </c:pt>
                <c:pt idx="2">
                  <c:v>253.32714298116687</c:v>
                </c:pt>
                <c:pt idx="3">
                  <c:v>444.68602082793313</c:v>
                </c:pt>
                <c:pt idx="4">
                  <c:v>297.90603566083746</c:v>
                </c:pt>
                <c:pt idx="5">
                  <c:v>608.82421146753154</c:v>
                </c:pt>
                <c:pt idx="6">
                  <c:v>191.0524304264317</c:v>
                </c:pt>
                <c:pt idx="7">
                  <c:v>222.09727661106228</c:v>
                </c:pt>
                <c:pt idx="8">
                  <c:v>151.19281211638909</c:v>
                </c:pt>
                <c:pt idx="9">
                  <c:v>531.10116313393007</c:v>
                </c:pt>
                <c:pt idx="10">
                  <c:v>486.06180658485232</c:v>
                </c:pt>
                <c:pt idx="11">
                  <c:v>567.38948215056416</c:v>
                </c:pt>
                <c:pt idx="12">
                  <c:v>535.35584433730037</c:v>
                </c:pt>
                <c:pt idx="13">
                  <c:v>455.18551639458065</c:v>
                </c:pt>
                <c:pt idx="14">
                  <c:v>577.52176868579716</c:v>
                </c:pt>
                <c:pt idx="15">
                  <c:v>331.84364937488886</c:v>
                </c:pt>
                <c:pt idx="16">
                  <c:v>698.77657008716778</c:v>
                </c:pt>
                <c:pt idx="17">
                  <c:v>565.35319289399354</c:v>
                </c:pt>
                <c:pt idx="18">
                  <c:v>624.05670724114884</c:v>
                </c:pt>
                <c:pt idx="19">
                  <c:v>847.32186753355973</c:v>
                </c:pt>
                <c:pt idx="20">
                  <c:v>469.27421100790076</c:v>
                </c:pt>
                <c:pt idx="21">
                  <c:v>816.13041109276537</c:v>
                </c:pt>
                <c:pt idx="22">
                  <c:v>400.3918192594009</c:v>
                </c:pt>
                <c:pt idx="23">
                  <c:v>584.95054422829685</c:v>
                </c:pt>
                <c:pt idx="24">
                  <c:v>924.39058738124254</c:v>
                </c:pt>
                <c:pt idx="25">
                  <c:v>643.70959060668395</c:v>
                </c:pt>
                <c:pt idx="26">
                  <c:v>873.52042132881661</c:v>
                </c:pt>
                <c:pt idx="27">
                  <c:v>539.57563867345539</c:v>
                </c:pt>
                <c:pt idx="28">
                  <c:v>728.13601390098813</c:v>
                </c:pt>
                <c:pt idx="29">
                  <c:v>932.8035214315347</c:v>
                </c:pt>
                <c:pt idx="30">
                  <c:v>765.6984255751745</c:v>
                </c:pt>
                <c:pt idx="31">
                  <c:v>1035.5718657403031</c:v>
                </c:pt>
                <c:pt idx="32">
                  <c:v>978.44176856960439</c:v>
                </c:pt>
                <c:pt idx="33">
                  <c:v>985.75553215684192</c:v>
                </c:pt>
                <c:pt idx="34">
                  <c:v>774.25399748757491</c:v>
                </c:pt>
                <c:pt idx="35">
                  <c:v>833.18678350513517</c:v>
                </c:pt>
                <c:pt idx="36">
                  <c:v>878.84449396970763</c:v>
                </c:pt>
                <c:pt idx="37">
                  <c:v>1195.7587667564444</c:v>
                </c:pt>
                <c:pt idx="38">
                  <c:v>655.61135296740497</c:v>
                </c:pt>
                <c:pt idx="39">
                  <c:v>812.26904824128019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55-4B37-B3F5-60EAC72ED55C}"/>
            </c:ext>
          </c:extLst>
        </c:ser>
        <c:ser>
          <c:idx val="0"/>
          <c:order val="1"/>
          <c:tx>
            <c:strRef>
              <c:f>Надстройка!$G$22</c:f>
              <c:strCache>
                <c:ptCount val="1"/>
                <c:pt idx="0">
                  <c:v>Линия регрессии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Надстройка!$F$23:$F$24</c:f>
              <c:numCache>
                <c:formatCode>General</c:formatCode>
                <c:ptCount val="2"/>
                <c:pt idx="0">
                  <c:v>50</c:v>
                </c:pt>
                <c:pt idx="1">
                  <c:v>550</c:v>
                </c:pt>
              </c:numCache>
            </c:numRef>
          </c:xVal>
          <c:yVal>
            <c:numRef>
              <c:f>Надстройка!$G$23:$G$24</c:f>
              <c:numCache>
                <c:formatCode>0.000</c:formatCode>
                <c:ptCount val="2"/>
                <c:pt idx="0">
                  <c:v>172.76894468552359</c:v>
                </c:pt>
                <c:pt idx="1">
                  <c:v>1079.9912382263758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55-4B37-B3F5-60EAC72ED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26400"/>
        <c:axId val="138748672"/>
      </c:scatterChart>
      <c:valAx>
        <c:axId val="138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748672"/>
        <c:crosses val="autoZero"/>
        <c:crossBetween val="midCat"/>
      </c:valAx>
      <c:valAx>
        <c:axId val="138748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7.29998456075345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87264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6182199332854046E-2"/>
          <c:y val="0.92967855141702793"/>
          <c:w val="0.45260874342820345"/>
          <c:h val="6.77262673626470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Переменная </a:t>
            </a:r>
            <a:r>
              <a:rPr lang="en-US" sz="1400"/>
              <a:t>X 1 </a:t>
            </a:r>
            <a:r>
              <a:rPr lang="ru-RU" sz="1400"/>
              <a:t>График остатков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Надстройка!$B$23:$B$62</c:f>
              <c:numCache>
                <c:formatCode>General</c:formatCode>
                <c:ptCount val="4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</c:numCache>
            </c:numRef>
          </c:xVal>
          <c:yVal>
            <c:numRef>
              <c:f>Надстройка!$K$30:$K$69</c:f>
              <c:numCache>
                <c:formatCode>General</c:formatCode>
                <c:ptCount val="40"/>
                <c:pt idx="0">
                  <c:v>55.603211081840868</c:v>
                </c:pt>
                <c:pt idx="1">
                  <c:v>-125.74355659991522</c:v>
                </c:pt>
                <c:pt idx="2">
                  <c:v>-46.452922800076038</c:v>
                </c:pt>
                <c:pt idx="3">
                  <c:v>126.76150917587319</c:v>
                </c:pt>
                <c:pt idx="4">
                  <c:v>-38.162921862039525</c:v>
                </c:pt>
                <c:pt idx="5">
                  <c:v>254.61080807383752</c:v>
                </c:pt>
                <c:pt idx="6">
                  <c:v>-181.30541883807936</c:v>
                </c:pt>
                <c:pt idx="7">
                  <c:v>-168.40501852426581</c:v>
                </c:pt>
                <c:pt idx="8">
                  <c:v>-257.45392888975607</c:v>
                </c:pt>
                <c:pt idx="9">
                  <c:v>104.30997625696784</c:v>
                </c:pt>
                <c:pt idx="10">
                  <c:v>41.126173837073054</c:v>
                </c:pt>
                <c:pt idx="11">
                  <c:v>104.30940353196786</c:v>
                </c:pt>
                <c:pt idx="12">
                  <c:v>54.131319847887028</c:v>
                </c:pt>
                <c:pt idx="13">
                  <c:v>-44.183453965649733</c:v>
                </c:pt>
                <c:pt idx="14">
                  <c:v>60.008352454749797</c:v>
                </c:pt>
                <c:pt idx="15">
                  <c:v>-203.81421272697571</c:v>
                </c:pt>
                <c:pt idx="16">
                  <c:v>144.97426211448624</c:v>
                </c:pt>
                <c:pt idx="17">
                  <c:v>-6.5935609495049903</c:v>
                </c:pt>
                <c:pt idx="18">
                  <c:v>33.965507526833221</c:v>
                </c:pt>
                <c:pt idx="19">
                  <c:v>239.08622194842701</c:v>
                </c:pt>
                <c:pt idx="20">
                  <c:v>-157.10588044804894</c:v>
                </c:pt>
                <c:pt idx="21">
                  <c:v>171.60587376599858</c:v>
                </c:pt>
                <c:pt idx="22">
                  <c:v>-262.27716393818287</c:v>
                </c:pt>
                <c:pt idx="23">
                  <c:v>-95.862884840104016</c:v>
                </c:pt>
                <c:pt idx="24">
                  <c:v>225.43271244202469</c:v>
                </c:pt>
                <c:pt idx="25">
                  <c:v>-73.392730203350993</c:v>
                </c:pt>
                <c:pt idx="26">
                  <c:v>138.27365464796458</c:v>
                </c:pt>
                <c:pt idx="27">
                  <c:v>-213.81557387821363</c:v>
                </c:pt>
                <c:pt idx="28">
                  <c:v>-43.399644521497976</c:v>
                </c:pt>
                <c:pt idx="29">
                  <c:v>143.12341713823162</c:v>
                </c:pt>
                <c:pt idx="30">
                  <c:v>-42.126124588945686</c:v>
                </c:pt>
                <c:pt idx="31">
                  <c:v>209.60286970536595</c:v>
                </c:pt>
                <c:pt idx="32">
                  <c:v>134.32832666385013</c:v>
                </c:pt>
                <c:pt idx="33">
                  <c:v>123.49764438027057</c:v>
                </c:pt>
                <c:pt idx="34">
                  <c:v>-106.14833615981343</c:v>
                </c:pt>
                <c:pt idx="35">
                  <c:v>-65.359996013070258</c:v>
                </c:pt>
                <c:pt idx="36">
                  <c:v>-37.846731419314779</c:v>
                </c:pt>
                <c:pt idx="37">
                  <c:v>260.9230954966049</c:v>
                </c:pt>
                <c:pt idx="38">
                  <c:v>-297.36876416325151</c:v>
                </c:pt>
                <c:pt idx="39">
                  <c:v>-158.85551476019339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0-4D00-8B1D-BA1C6A5FB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98208"/>
        <c:axId val="138800128"/>
      </c:scatterChart>
      <c:valAx>
        <c:axId val="13879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800128"/>
        <c:crosses val="autoZero"/>
        <c:crossBetween val="midCat"/>
      </c:valAx>
      <c:valAx>
        <c:axId val="138800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798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Переменная </a:t>
            </a:r>
            <a:r>
              <a:rPr lang="en-US" sz="1400"/>
              <a:t>X 1 </a:t>
            </a:r>
            <a:r>
              <a:rPr lang="ru-RU" sz="1400"/>
              <a:t>График подбора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56429788381717"/>
          <c:y val="0.20158547254763887"/>
          <c:w val="0.79326373676974593"/>
          <c:h val="0.53099118707722515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Надстройка!$B$23:$B$62</c:f>
              <c:numCache>
                <c:formatCode>General</c:formatCode>
                <c:ptCount val="4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</c:numCache>
            </c:numRef>
          </c:xVal>
          <c:yVal>
            <c:numRef>
              <c:f>Надстройка!$C$23:$C$62</c:f>
              <c:numCache>
                <c:formatCode>0.000</c:formatCode>
                <c:ptCount val="40"/>
                <c:pt idx="0">
                  <c:v>319.0943851214497</c:v>
                </c:pt>
                <c:pt idx="1">
                  <c:v>155.89206331051059</c:v>
                </c:pt>
                <c:pt idx="2">
                  <c:v>253.32714298116687</c:v>
                </c:pt>
                <c:pt idx="3">
                  <c:v>444.68602082793313</c:v>
                </c:pt>
                <c:pt idx="4">
                  <c:v>297.90603566083746</c:v>
                </c:pt>
                <c:pt idx="5">
                  <c:v>608.82421146753154</c:v>
                </c:pt>
                <c:pt idx="6">
                  <c:v>191.0524304264317</c:v>
                </c:pt>
                <c:pt idx="7">
                  <c:v>222.09727661106228</c:v>
                </c:pt>
                <c:pt idx="8">
                  <c:v>151.19281211638909</c:v>
                </c:pt>
                <c:pt idx="9">
                  <c:v>531.10116313393007</c:v>
                </c:pt>
                <c:pt idx="10">
                  <c:v>486.06180658485232</c:v>
                </c:pt>
                <c:pt idx="11">
                  <c:v>567.38948215056416</c:v>
                </c:pt>
                <c:pt idx="12">
                  <c:v>535.35584433730037</c:v>
                </c:pt>
                <c:pt idx="13">
                  <c:v>455.18551639458065</c:v>
                </c:pt>
                <c:pt idx="14">
                  <c:v>577.52176868579716</c:v>
                </c:pt>
                <c:pt idx="15">
                  <c:v>331.84364937488886</c:v>
                </c:pt>
                <c:pt idx="16">
                  <c:v>698.77657008716778</c:v>
                </c:pt>
                <c:pt idx="17">
                  <c:v>565.35319289399354</c:v>
                </c:pt>
                <c:pt idx="18">
                  <c:v>624.05670724114884</c:v>
                </c:pt>
                <c:pt idx="19">
                  <c:v>847.32186753355973</c:v>
                </c:pt>
                <c:pt idx="20">
                  <c:v>469.27421100790076</c:v>
                </c:pt>
                <c:pt idx="21">
                  <c:v>816.13041109276537</c:v>
                </c:pt>
                <c:pt idx="22">
                  <c:v>400.3918192594009</c:v>
                </c:pt>
                <c:pt idx="23">
                  <c:v>584.95054422829685</c:v>
                </c:pt>
                <c:pt idx="24">
                  <c:v>924.39058738124254</c:v>
                </c:pt>
                <c:pt idx="25">
                  <c:v>643.70959060668395</c:v>
                </c:pt>
                <c:pt idx="26">
                  <c:v>873.52042132881661</c:v>
                </c:pt>
                <c:pt idx="27">
                  <c:v>539.57563867345539</c:v>
                </c:pt>
                <c:pt idx="28">
                  <c:v>728.13601390098813</c:v>
                </c:pt>
                <c:pt idx="29">
                  <c:v>932.8035214315347</c:v>
                </c:pt>
                <c:pt idx="30">
                  <c:v>765.6984255751745</c:v>
                </c:pt>
                <c:pt idx="31">
                  <c:v>1035.5718657403031</c:v>
                </c:pt>
                <c:pt idx="32">
                  <c:v>978.44176856960439</c:v>
                </c:pt>
                <c:pt idx="33">
                  <c:v>985.75553215684192</c:v>
                </c:pt>
                <c:pt idx="34">
                  <c:v>774.25399748757491</c:v>
                </c:pt>
                <c:pt idx="35">
                  <c:v>833.18678350513517</c:v>
                </c:pt>
                <c:pt idx="36">
                  <c:v>878.84449396970763</c:v>
                </c:pt>
                <c:pt idx="37">
                  <c:v>1195.7587667564444</c:v>
                </c:pt>
                <c:pt idx="38">
                  <c:v>655.61135296740497</c:v>
                </c:pt>
                <c:pt idx="39">
                  <c:v>812.26904824128019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EF-49DE-880A-E63BD26A0B97}"/>
            </c:ext>
          </c:extLst>
        </c:ser>
        <c:ser>
          <c:idx val="1"/>
          <c:order val="1"/>
          <c:tx>
            <c:v>Предсказанное Y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Надстройка!$B$23:$B$62</c:f>
              <c:numCache>
                <c:formatCode>General</c:formatCode>
                <c:ptCount val="4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</c:numCache>
            </c:numRef>
          </c:xVal>
          <c:yVal>
            <c:numRef>
              <c:f>Надстройка!$J$30:$J$69</c:f>
              <c:numCache>
                <c:formatCode>General</c:formatCode>
                <c:ptCount val="40"/>
                <c:pt idx="0">
                  <c:v>263.49117403960884</c:v>
                </c:pt>
                <c:pt idx="1">
                  <c:v>281.63561991042582</c:v>
                </c:pt>
                <c:pt idx="2">
                  <c:v>299.78006578124291</c:v>
                </c:pt>
                <c:pt idx="3">
                  <c:v>317.92451165205995</c:v>
                </c:pt>
                <c:pt idx="4">
                  <c:v>336.06895752287699</c:v>
                </c:pt>
                <c:pt idx="5">
                  <c:v>354.21340339369402</c:v>
                </c:pt>
                <c:pt idx="6">
                  <c:v>372.35784926451106</c:v>
                </c:pt>
                <c:pt idx="7">
                  <c:v>390.5022951353281</c:v>
                </c:pt>
                <c:pt idx="8">
                  <c:v>408.64674100614519</c:v>
                </c:pt>
                <c:pt idx="9">
                  <c:v>426.79118687696223</c:v>
                </c:pt>
                <c:pt idx="10">
                  <c:v>444.93563274777927</c:v>
                </c:pt>
                <c:pt idx="11">
                  <c:v>463.0800786185963</c:v>
                </c:pt>
                <c:pt idx="12">
                  <c:v>481.22452448941334</c:v>
                </c:pt>
                <c:pt idx="13">
                  <c:v>499.36897036023038</c:v>
                </c:pt>
                <c:pt idx="14">
                  <c:v>517.51341623104736</c:v>
                </c:pt>
                <c:pt idx="15">
                  <c:v>535.65786210186457</c:v>
                </c:pt>
                <c:pt idx="16">
                  <c:v>553.80230797268155</c:v>
                </c:pt>
                <c:pt idx="17">
                  <c:v>571.94675384349853</c:v>
                </c:pt>
                <c:pt idx="18">
                  <c:v>590.09119971431562</c:v>
                </c:pt>
                <c:pt idx="19">
                  <c:v>608.23564558513272</c:v>
                </c:pt>
                <c:pt idx="20">
                  <c:v>626.3800914559497</c:v>
                </c:pt>
                <c:pt idx="21">
                  <c:v>644.52453732676679</c:v>
                </c:pt>
                <c:pt idx="22">
                  <c:v>662.66898319758377</c:v>
                </c:pt>
                <c:pt idx="23">
                  <c:v>680.81342906840086</c:v>
                </c:pt>
                <c:pt idx="24">
                  <c:v>698.95787493921785</c:v>
                </c:pt>
                <c:pt idx="25">
                  <c:v>717.10232081003494</c:v>
                </c:pt>
                <c:pt idx="26">
                  <c:v>735.24676668085203</c:v>
                </c:pt>
                <c:pt idx="27">
                  <c:v>753.39121255166901</c:v>
                </c:pt>
                <c:pt idx="28">
                  <c:v>771.53565842248611</c:v>
                </c:pt>
                <c:pt idx="29">
                  <c:v>789.68010429330309</c:v>
                </c:pt>
                <c:pt idx="30">
                  <c:v>807.82455016412018</c:v>
                </c:pt>
                <c:pt idx="31">
                  <c:v>825.96899603493716</c:v>
                </c:pt>
                <c:pt idx="32">
                  <c:v>844.11344190575426</c:v>
                </c:pt>
                <c:pt idx="33">
                  <c:v>862.25788777657135</c:v>
                </c:pt>
                <c:pt idx="34">
                  <c:v>880.40233364738833</c:v>
                </c:pt>
                <c:pt idx="35">
                  <c:v>898.54677951820543</c:v>
                </c:pt>
                <c:pt idx="36">
                  <c:v>916.69122538902241</c:v>
                </c:pt>
                <c:pt idx="37">
                  <c:v>934.8356712598395</c:v>
                </c:pt>
                <c:pt idx="38">
                  <c:v>952.98011713065648</c:v>
                </c:pt>
                <c:pt idx="39">
                  <c:v>971.12456300147358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EF-49DE-880A-E63BD26A0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57632"/>
        <c:axId val="127559552"/>
      </c:scatterChart>
      <c:valAx>
        <c:axId val="12755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layout>
            <c:manualLayout>
              <c:xMode val="edge"/>
              <c:yMode val="edge"/>
              <c:x val="0.7352980877390326"/>
              <c:y val="0.83583765443953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559552"/>
        <c:crosses val="autoZero"/>
        <c:crossBetween val="midCat"/>
      </c:valAx>
      <c:valAx>
        <c:axId val="127559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5.6808688387635753E-2"/>
              <c:y val="7.901841538100422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75576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0875416888678406E-2"/>
          <c:y val="0.9019896293451124"/>
          <c:w val="0.50387964662311946"/>
          <c:h val="9.27328891580860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График нормального распределения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793104809267264"/>
          <c:y val="0.21207015382245922"/>
          <c:w val="0.74648011103875178"/>
          <c:h val="0.640393764960309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Надстройка!$N$30:$N$69</c:f>
              <c:numCache>
                <c:formatCode>General</c:formatCode>
                <c:ptCount val="40"/>
                <c:pt idx="0">
                  <c:v>1.25</c:v>
                </c:pt>
                <c:pt idx="1">
                  <c:v>3.75</c:v>
                </c:pt>
                <c:pt idx="2">
                  <c:v>6.25</c:v>
                </c:pt>
                <c:pt idx="3">
                  <c:v>8.75</c:v>
                </c:pt>
                <c:pt idx="4">
                  <c:v>11.25</c:v>
                </c:pt>
                <c:pt idx="5">
                  <c:v>13.75</c:v>
                </c:pt>
                <c:pt idx="6">
                  <c:v>16.25</c:v>
                </c:pt>
                <c:pt idx="7">
                  <c:v>18.75</c:v>
                </c:pt>
                <c:pt idx="8">
                  <c:v>21.25</c:v>
                </c:pt>
                <c:pt idx="9">
                  <c:v>23.75</c:v>
                </c:pt>
                <c:pt idx="10">
                  <c:v>26.25</c:v>
                </c:pt>
                <c:pt idx="11">
                  <c:v>28.75</c:v>
                </c:pt>
                <c:pt idx="12">
                  <c:v>31.25</c:v>
                </c:pt>
                <c:pt idx="13">
                  <c:v>33.75</c:v>
                </c:pt>
                <c:pt idx="14">
                  <c:v>36.25</c:v>
                </c:pt>
                <c:pt idx="15">
                  <c:v>38.75</c:v>
                </c:pt>
                <c:pt idx="16">
                  <c:v>41.25</c:v>
                </c:pt>
                <c:pt idx="17">
                  <c:v>43.75</c:v>
                </c:pt>
                <c:pt idx="18">
                  <c:v>46.25</c:v>
                </c:pt>
                <c:pt idx="19">
                  <c:v>48.75</c:v>
                </c:pt>
                <c:pt idx="20">
                  <c:v>51.25</c:v>
                </c:pt>
                <c:pt idx="21">
                  <c:v>53.75</c:v>
                </c:pt>
                <c:pt idx="22">
                  <c:v>56.25</c:v>
                </c:pt>
                <c:pt idx="23">
                  <c:v>58.75</c:v>
                </c:pt>
                <c:pt idx="24">
                  <c:v>61.25</c:v>
                </c:pt>
                <c:pt idx="25">
                  <c:v>63.75</c:v>
                </c:pt>
                <c:pt idx="26">
                  <c:v>66.25</c:v>
                </c:pt>
                <c:pt idx="27">
                  <c:v>68.75</c:v>
                </c:pt>
                <c:pt idx="28">
                  <c:v>71.25</c:v>
                </c:pt>
                <c:pt idx="29">
                  <c:v>73.75</c:v>
                </c:pt>
                <c:pt idx="30">
                  <c:v>76.25</c:v>
                </c:pt>
                <c:pt idx="31">
                  <c:v>78.75</c:v>
                </c:pt>
                <c:pt idx="32">
                  <c:v>81.25</c:v>
                </c:pt>
                <c:pt idx="33">
                  <c:v>83.75</c:v>
                </c:pt>
                <c:pt idx="34">
                  <c:v>86.25</c:v>
                </c:pt>
                <c:pt idx="35">
                  <c:v>88.75</c:v>
                </c:pt>
                <c:pt idx="36">
                  <c:v>91.25</c:v>
                </c:pt>
                <c:pt idx="37">
                  <c:v>93.75</c:v>
                </c:pt>
                <c:pt idx="38">
                  <c:v>96.25</c:v>
                </c:pt>
                <c:pt idx="39">
                  <c:v>98.75</c:v>
                </c:pt>
              </c:numCache>
            </c:numRef>
          </c:xVal>
          <c:yVal>
            <c:numRef>
              <c:f>Надстройка!$O$30:$O$69</c:f>
              <c:numCache>
                <c:formatCode>General</c:formatCode>
                <c:ptCount val="40"/>
                <c:pt idx="0">
                  <c:v>151.19281211638909</c:v>
                </c:pt>
                <c:pt idx="1">
                  <c:v>155.89206331051059</c:v>
                </c:pt>
                <c:pt idx="2">
                  <c:v>191.0524304264317</c:v>
                </c:pt>
                <c:pt idx="3">
                  <c:v>222.09727661106228</c:v>
                </c:pt>
                <c:pt idx="4">
                  <c:v>253.32714298116687</c:v>
                </c:pt>
                <c:pt idx="5">
                  <c:v>297.90603566083746</c:v>
                </c:pt>
                <c:pt idx="6">
                  <c:v>319.0943851214497</c:v>
                </c:pt>
                <c:pt idx="7">
                  <c:v>331.84364937488886</c:v>
                </c:pt>
                <c:pt idx="8">
                  <c:v>400.3918192594009</c:v>
                </c:pt>
                <c:pt idx="9">
                  <c:v>444.68602082793313</c:v>
                </c:pt>
                <c:pt idx="10">
                  <c:v>455.18551639458065</c:v>
                </c:pt>
                <c:pt idx="11">
                  <c:v>469.27421100790076</c:v>
                </c:pt>
                <c:pt idx="12">
                  <c:v>486.06180658485232</c:v>
                </c:pt>
                <c:pt idx="13">
                  <c:v>531.10116313393007</c:v>
                </c:pt>
                <c:pt idx="14">
                  <c:v>535.35584433730037</c:v>
                </c:pt>
                <c:pt idx="15">
                  <c:v>539.57563867345539</c:v>
                </c:pt>
                <c:pt idx="16">
                  <c:v>565.35319289399354</c:v>
                </c:pt>
                <c:pt idx="17">
                  <c:v>567.38948215056416</c:v>
                </c:pt>
                <c:pt idx="18">
                  <c:v>577.52176868579716</c:v>
                </c:pt>
                <c:pt idx="19">
                  <c:v>584.95054422829685</c:v>
                </c:pt>
                <c:pt idx="20">
                  <c:v>608.82421146753154</c:v>
                </c:pt>
                <c:pt idx="21">
                  <c:v>624.05670724114884</c:v>
                </c:pt>
                <c:pt idx="22">
                  <c:v>643.70959060668395</c:v>
                </c:pt>
                <c:pt idx="23">
                  <c:v>655.61135296740497</c:v>
                </c:pt>
                <c:pt idx="24">
                  <c:v>698.77657008716778</c:v>
                </c:pt>
                <c:pt idx="25">
                  <c:v>728.13601390098813</c:v>
                </c:pt>
                <c:pt idx="26">
                  <c:v>765.6984255751745</c:v>
                </c:pt>
                <c:pt idx="27">
                  <c:v>774.25399748757491</c:v>
                </c:pt>
                <c:pt idx="28">
                  <c:v>812.26904824128019</c:v>
                </c:pt>
                <c:pt idx="29">
                  <c:v>816.13041109276537</c:v>
                </c:pt>
                <c:pt idx="30">
                  <c:v>833.18678350513517</c:v>
                </c:pt>
                <c:pt idx="31">
                  <c:v>847.32186753355973</c:v>
                </c:pt>
                <c:pt idx="32">
                  <c:v>873.52042132881661</c:v>
                </c:pt>
                <c:pt idx="33">
                  <c:v>878.84449396970763</c:v>
                </c:pt>
                <c:pt idx="34">
                  <c:v>924.39058738124254</c:v>
                </c:pt>
                <c:pt idx="35">
                  <c:v>932.8035214315347</c:v>
                </c:pt>
                <c:pt idx="36">
                  <c:v>978.44176856960439</c:v>
                </c:pt>
                <c:pt idx="37">
                  <c:v>985.75553215684192</c:v>
                </c:pt>
                <c:pt idx="38">
                  <c:v>1035.5718657403031</c:v>
                </c:pt>
                <c:pt idx="39">
                  <c:v>1195.7587667564444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F-4AE6-9F5B-1DF39A4E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12640"/>
        <c:axId val="138523008"/>
      </c:scatterChart>
      <c:valAx>
        <c:axId val="1385126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Персентиль выборки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523008"/>
        <c:crosses val="autoZero"/>
        <c:crossBetween val="midCat"/>
      </c:valAx>
      <c:valAx>
        <c:axId val="1385230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7.6892493701445214E-2"/>
              <c:y val="0.11522076407115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8512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1 </a:t>
            </a:r>
            <a:r>
              <a:rPr lang="ru-RU"/>
              <a:t>График остатков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Надстройка!$B$23:$B$62</c:f>
              <c:numCache>
                <c:formatCode>General</c:formatCode>
                <c:ptCount val="4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</c:numCache>
            </c:numRef>
          </c:xVal>
          <c:yVal>
            <c:numRef>
              <c:f>Надстройка!$X$30:$X$69</c:f>
              <c:numCache>
                <c:formatCode>General</c:formatCode>
                <c:ptCount val="40"/>
                <c:pt idx="0">
                  <c:v>55.603211081840868</c:v>
                </c:pt>
                <c:pt idx="1">
                  <c:v>-125.74355659991522</c:v>
                </c:pt>
                <c:pt idx="2">
                  <c:v>-46.452922800076038</c:v>
                </c:pt>
                <c:pt idx="3">
                  <c:v>126.76150917587319</c:v>
                </c:pt>
                <c:pt idx="4">
                  <c:v>-38.162921862039525</c:v>
                </c:pt>
                <c:pt idx="5">
                  <c:v>254.61080807383752</c:v>
                </c:pt>
                <c:pt idx="6">
                  <c:v>-181.30541883807936</c:v>
                </c:pt>
                <c:pt idx="7">
                  <c:v>-168.40501852426581</c:v>
                </c:pt>
                <c:pt idx="8">
                  <c:v>-257.45392888975607</c:v>
                </c:pt>
                <c:pt idx="9">
                  <c:v>104.30997625696784</c:v>
                </c:pt>
                <c:pt idx="10">
                  <c:v>41.126173837073054</c:v>
                </c:pt>
                <c:pt idx="11">
                  <c:v>104.30940353196786</c:v>
                </c:pt>
                <c:pt idx="12">
                  <c:v>54.131319847887028</c:v>
                </c:pt>
                <c:pt idx="13">
                  <c:v>-44.183453965649733</c:v>
                </c:pt>
                <c:pt idx="14">
                  <c:v>60.008352454749797</c:v>
                </c:pt>
                <c:pt idx="15">
                  <c:v>-203.81421272697571</c:v>
                </c:pt>
                <c:pt idx="16">
                  <c:v>144.97426211448624</c:v>
                </c:pt>
                <c:pt idx="17">
                  <c:v>-6.5935609495049903</c:v>
                </c:pt>
                <c:pt idx="18">
                  <c:v>33.965507526833221</c:v>
                </c:pt>
                <c:pt idx="19">
                  <c:v>239.08622194842701</c:v>
                </c:pt>
                <c:pt idx="20">
                  <c:v>-157.10588044804894</c:v>
                </c:pt>
                <c:pt idx="21">
                  <c:v>171.60587376599858</c:v>
                </c:pt>
                <c:pt idx="22">
                  <c:v>-262.27716393818287</c:v>
                </c:pt>
                <c:pt idx="23">
                  <c:v>-95.862884840104016</c:v>
                </c:pt>
                <c:pt idx="24">
                  <c:v>225.43271244202469</c:v>
                </c:pt>
                <c:pt idx="25">
                  <c:v>-73.392730203350993</c:v>
                </c:pt>
                <c:pt idx="26">
                  <c:v>138.27365464796458</c:v>
                </c:pt>
                <c:pt idx="27">
                  <c:v>-213.81557387821363</c:v>
                </c:pt>
                <c:pt idx="28">
                  <c:v>-43.399644521497976</c:v>
                </c:pt>
                <c:pt idx="29">
                  <c:v>143.12341713823162</c:v>
                </c:pt>
                <c:pt idx="30">
                  <c:v>-42.126124588945686</c:v>
                </c:pt>
                <c:pt idx="31">
                  <c:v>209.60286970536595</c:v>
                </c:pt>
                <c:pt idx="32">
                  <c:v>134.32832666385013</c:v>
                </c:pt>
                <c:pt idx="33">
                  <c:v>123.49764438027057</c:v>
                </c:pt>
                <c:pt idx="34">
                  <c:v>-106.14833615981343</c:v>
                </c:pt>
                <c:pt idx="35">
                  <c:v>-65.359996013070258</c:v>
                </c:pt>
                <c:pt idx="36">
                  <c:v>-37.846731419314779</c:v>
                </c:pt>
                <c:pt idx="37">
                  <c:v>260.9230954966049</c:v>
                </c:pt>
                <c:pt idx="38">
                  <c:v>-297.36876416325151</c:v>
                </c:pt>
                <c:pt idx="39">
                  <c:v>-158.85551476019339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2C-43AC-B3AC-26C6F99FA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91328"/>
        <c:axId val="138693248"/>
      </c:scatterChart>
      <c:valAx>
        <c:axId val="1386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693248"/>
        <c:crosses val="autoZero"/>
        <c:crossBetween val="midCat"/>
      </c:valAx>
      <c:valAx>
        <c:axId val="13869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691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1 </a:t>
            </a:r>
            <a:r>
              <a:rPr lang="ru-RU"/>
              <a:t>График подбора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Надстройка!$B$23:$B$62</c:f>
              <c:numCache>
                <c:formatCode>General</c:formatCode>
                <c:ptCount val="4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</c:numCache>
            </c:numRef>
          </c:xVal>
          <c:yVal>
            <c:numRef>
              <c:f>Надстройка!$C$23:$C$62</c:f>
              <c:numCache>
                <c:formatCode>0.000</c:formatCode>
                <c:ptCount val="40"/>
                <c:pt idx="0">
                  <c:v>319.0943851214497</c:v>
                </c:pt>
                <c:pt idx="1">
                  <c:v>155.89206331051059</c:v>
                </c:pt>
                <c:pt idx="2">
                  <c:v>253.32714298116687</c:v>
                </c:pt>
                <c:pt idx="3">
                  <c:v>444.68602082793313</c:v>
                </c:pt>
                <c:pt idx="4">
                  <c:v>297.90603566083746</c:v>
                </c:pt>
                <c:pt idx="5">
                  <c:v>608.82421146753154</c:v>
                </c:pt>
                <c:pt idx="6">
                  <c:v>191.0524304264317</c:v>
                </c:pt>
                <c:pt idx="7">
                  <c:v>222.09727661106228</c:v>
                </c:pt>
                <c:pt idx="8">
                  <c:v>151.19281211638909</c:v>
                </c:pt>
                <c:pt idx="9">
                  <c:v>531.10116313393007</c:v>
                </c:pt>
                <c:pt idx="10">
                  <c:v>486.06180658485232</c:v>
                </c:pt>
                <c:pt idx="11">
                  <c:v>567.38948215056416</c:v>
                </c:pt>
                <c:pt idx="12">
                  <c:v>535.35584433730037</c:v>
                </c:pt>
                <c:pt idx="13">
                  <c:v>455.18551639458065</c:v>
                </c:pt>
                <c:pt idx="14">
                  <c:v>577.52176868579716</c:v>
                </c:pt>
                <c:pt idx="15">
                  <c:v>331.84364937488886</c:v>
                </c:pt>
                <c:pt idx="16">
                  <c:v>698.77657008716778</c:v>
                </c:pt>
                <c:pt idx="17">
                  <c:v>565.35319289399354</c:v>
                </c:pt>
                <c:pt idx="18">
                  <c:v>624.05670724114884</c:v>
                </c:pt>
                <c:pt idx="19">
                  <c:v>847.32186753355973</c:v>
                </c:pt>
                <c:pt idx="20">
                  <c:v>469.27421100790076</c:v>
                </c:pt>
                <c:pt idx="21">
                  <c:v>816.13041109276537</c:v>
                </c:pt>
                <c:pt idx="22">
                  <c:v>400.3918192594009</c:v>
                </c:pt>
                <c:pt idx="23">
                  <c:v>584.95054422829685</c:v>
                </c:pt>
                <c:pt idx="24">
                  <c:v>924.39058738124254</c:v>
                </c:pt>
                <c:pt idx="25">
                  <c:v>643.70959060668395</c:v>
                </c:pt>
                <c:pt idx="26">
                  <c:v>873.52042132881661</c:v>
                </c:pt>
                <c:pt idx="27">
                  <c:v>539.57563867345539</c:v>
                </c:pt>
                <c:pt idx="28">
                  <c:v>728.13601390098813</c:v>
                </c:pt>
                <c:pt idx="29">
                  <c:v>932.8035214315347</c:v>
                </c:pt>
                <c:pt idx="30">
                  <c:v>765.6984255751745</c:v>
                </c:pt>
                <c:pt idx="31">
                  <c:v>1035.5718657403031</c:v>
                </c:pt>
                <c:pt idx="32">
                  <c:v>978.44176856960439</c:v>
                </c:pt>
                <c:pt idx="33">
                  <c:v>985.75553215684192</c:v>
                </c:pt>
                <c:pt idx="34">
                  <c:v>774.25399748757491</c:v>
                </c:pt>
                <c:pt idx="35">
                  <c:v>833.18678350513517</c:v>
                </c:pt>
                <c:pt idx="36">
                  <c:v>878.84449396970763</c:v>
                </c:pt>
                <c:pt idx="37">
                  <c:v>1195.7587667564444</c:v>
                </c:pt>
                <c:pt idx="38">
                  <c:v>655.61135296740497</c:v>
                </c:pt>
                <c:pt idx="39">
                  <c:v>812.26904824128019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49-4764-AF85-2D6E19E479F2}"/>
            </c:ext>
          </c:extLst>
        </c:ser>
        <c:ser>
          <c:idx val="1"/>
          <c:order val="1"/>
          <c:tx>
            <c:v>Предсказанное Y</c:v>
          </c:tx>
          <c:spPr>
            <a:ln w="28575">
              <a:noFill/>
            </a:ln>
          </c:spPr>
          <c:xVal>
            <c:numRef>
              <c:f>Надстройка!$B$23:$B$62</c:f>
              <c:numCache>
                <c:formatCode>General</c:formatCode>
                <c:ptCount val="4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</c:numCache>
            </c:numRef>
          </c:xVal>
          <c:yVal>
            <c:numRef>
              <c:f>Надстройка!$W$30:$W$69</c:f>
              <c:numCache>
                <c:formatCode>General</c:formatCode>
                <c:ptCount val="40"/>
                <c:pt idx="0">
                  <c:v>263.49117403960884</c:v>
                </c:pt>
                <c:pt idx="1">
                  <c:v>281.63561991042582</c:v>
                </c:pt>
                <c:pt idx="2">
                  <c:v>299.78006578124291</c:v>
                </c:pt>
                <c:pt idx="3">
                  <c:v>317.92451165205995</c:v>
                </c:pt>
                <c:pt idx="4">
                  <c:v>336.06895752287699</c:v>
                </c:pt>
                <c:pt idx="5">
                  <c:v>354.21340339369402</c:v>
                </c:pt>
                <c:pt idx="6">
                  <c:v>372.35784926451106</c:v>
                </c:pt>
                <c:pt idx="7">
                  <c:v>390.5022951353281</c:v>
                </c:pt>
                <c:pt idx="8">
                  <c:v>408.64674100614519</c:v>
                </c:pt>
                <c:pt idx="9">
                  <c:v>426.79118687696223</c:v>
                </c:pt>
                <c:pt idx="10">
                  <c:v>444.93563274777927</c:v>
                </c:pt>
                <c:pt idx="11">
                  <c:v>463.0800786185963</c:v>
                </c:pt>
                <c:pt idx="12">
                  <c:v>481.22452448941334</c:v>
                </c:pt>
                <c:pt idx="13">
                  <c:v>499.36897036023038</c:v>
                </c:pt>
                <c:pt idx="14">
                  <c:v>517.51341623104736</c:v>
                </c:pt>
                <c:pt idx="15">
                  <c:v>535.65786210186457</c:v>
                </c:pt>
                <c:pt idx="16">
                  <c:v>553.80230797268155</c:v>
                </c:pt>
                <c:pt idx="17">
                  <c:v>571.94675384349853</c:v>
                </c:pt>
                <c:pt idx="18">
                  <c:v>590.09119971431562</c:v>
                </c:pt>
                <c:pt idx="19">
                  <c:v>608.23564558513272</c:v>
                </c:pt>
                <c:pt idx="20">
                  <c:v>626.3800914559497</c:v>
                </c:pt>
                <c:pt idx="21">
                  <c:v>644.52453732676679</c:v>
                </c:pt>
                <c:pt idx="22">
                  <c:v>662.66898319758377</c:v>
                </c:pt>
                <c:pt idx="23">
                  <c:v>680.81342906840086</c:v>
                </c:pt>
                <c:pt idx="24">
                  <c:v>698.95787493921785</c:v>
                </c:pt>
                <c:pt idx="25">
                  <c:v>717.10232081003494</c:v>
                </c:pt>
                <c:pt idx="26">
                  <c:v>735.24676668085203</c:v>
                </c:pt>
                <c:pt idx="27">
                  <c:v>753.39121255166901</c:v>
                </c:pt>
                <c:pt idx="28">
                  <c:v>771.53565842248611</c:v>
                </c:pt>
                <c:pt idx="29">
                  <c:v>789.68010429330309</c:v>
                </c:pt>
                <c:pt idx="30">
                  <c:v>807.82455016412018</c:v>
                </c:pt>
                <c:pt idx="31">
                  <c:v>825.96899603493716</c:v>
                </c:pt>
                <c:pt idx="32">
                  <c:v>844.11344190575426</c:v>
                </c:pt>
                <c:pt idx="33">
                  <c:v>862.25788777657135</c:v>
                </c:pt>
                <c:pt idx="34">
                  <c:v>880.40233364738833</c:v>
                </c:pt>
                <c:pt idx="35">
                  <c:v>898.54677951820543</c:v>
                </c:pt>
                <c:pt idx="36">
                  <c:v>916.69122538902241</c:v>
                </c:pt>
                <c:pt idx="37">
                  <c:v>934.8356712598395</c:v>
                </c:pt>
                <c:pt idx="38">
                  <c:v>952.98011713065648</c:v>
                </c:pt>
                <c:pt idx="39">
                  <c:v>971.12456300147358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49-4764-AF85-2D6E19E47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20288"/>
        <c:axId val="138655232"/>
      </c:scatterChart>
      <c:valAx>
        <c:axId val="13862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655232"/>
        <c:crosses val="autoZero"/>
        <c:crossBetween val="midCat"/>
      </c:valAx>
      <c:valAx>
        <c:axId val="138655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38620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 нормального распределения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Надстройка!$AA$30:$AA$69</c:f>
              <c:numCache>
                <c:formatCode>General</c:formatCode>
                <c:ptCount val="40"/>
                <c:pt idx="0">
                  <c:v>1.25</c:v>
                </c:pt>
                <c:pt idx="1">
                  <c:v>3.75</c:v>
                </c:pt>
                <c:pt idx="2">
                  <c:v>6.25</c:v>
                </c:pt>
                <c:pt idx="3">
                  <c:v>8.75</c:v>
                </c:pt>
                <c:pt idx="4">
                  <c:v>11.25</c:v>
                </c:pt>
                <c:pt idx="5">
                  <c:v>13.75</c:v>
                </c:pt>
                <c:pt idx="6">
                  <c:v>16.25</c:v>
                </c:pt>
                <c:pt idx="7">
                  <c:v>18.75</c:v>
                </c:pt>
                <c:pt idx="8">
                  <c:v>21.25</c:v>
                </c:pt>
                <c:pt idx="9">
                  <c:v>23.75</c:v>
                </c:pt>
                <c:pt idx="10">
                  <c:v>26.25</c:v>
                </c:pt>
                <c:pt idx="11">
                  <c:v>28.75</c:v>
                </c:pt>
                <c:pt idx="12">
                  <c:v>31.25</c:v>
                </c:pt>
                <c:pt idx="13">
                  <c:v>33.75</c:v>
                </c:pt>
                <c:pt idx="14">
                  <c:v>36.25</c:v>
                </c:pt>
                <c:pt idx="15">
                  <c:v>38.75</c:v>
                </c:pt>
                <c:pt idx="16">
                  <c:v>41.25</c:v>
                </c:pt>
                <c:pt idx="17">
                  <c:v>43.75</c:v>
                </c:pt>
                <c:pt idx="18">
                  <c:v>46.25</c:v>
                </c:pt>
                <c:pt idx="19">
                  <c:v>48.75</c:v>
                </c:pt>
                <c:pt idx="20">
                  <c:v>51.25</c:v>
                </c:pt>
                <c:pt idx="21">
                  <c:v>53.75</c:v>
                </c:pt>
                <c:pt idx="22">
                  <c:v>56.25</c:v>
                </c:pt>
                <c:pt idx="23">
                  <c:v>58.75</c:v>
                </c:pt>
                <c:pt idx="24">
                  <c:v>61.25</c:v>
                </c:pt>
                <c:pt idx="25">
                  <c:v>63.75</c:v>
                </c:pt>
                <c:pt idx="26">
                  <c:v>66.25</c:v>
                </c:pt>
                <c:pt idx="27">
                  <c:v>68.75</c:v>
                </c:pt>
                <c:pt idx="28">
                  <c:v>71.25</c:v>
                </c:pt>
                <c:pt idx="29">
                  <c:v>73.75</c:v>
                </c:pt>
                <c:pt idx="30">
                  <c:v>76.25</c:v>
                </c:pt>
                <c:pt idx="31">
                  <c:v>78.75</c:v>
                </c:pt>
                <c:pt idx="32">
                  <c:v>81.25</c:v>
                </c:pt>
                <c:pt idx="33">
                  <c:v>83.75</c:v>
                </c:pt>
                <c:pt idx="34">
                  <c:v>86.25</c:v>
                </c:pt>
                <c:pt idx="35">
                  <c:v>88.75</c:v>
                </c:pt>
                <c:pt idx="36">
                  <c:v>91.25</c:v>
                </c:pt>
                <c:pt idx="37">
                  <c:v>93.75</c:v>
                </c:pt>
                <c:pt idx="38">
                  <c:v>96.25</c:v>
                </c:pt>
                <c:pt idx="39">
                  <c:v>98.75</c:v>
                </c:pt>
              </c:numCache>
            </c:numRef>
          </c:xVal>
          <c:yVal>
            <c:numRef>
              <c:f>Надстройка!$AB$30:$AB$69</c:f>
              <c:numCache>
                <c:formatCode>General</c:formatCode>
                <c:ptCount val="40"/>
                <c:pt idx="0">
                  <c:v>151.19281211638909</c:v>
                </c:pt>
                <c:pt idx="1">
                  <c:v>155.89206331051059</c:v>
                </c:pt>
                <c:pt idx="2">
                  <c:v>191.0524304264317</c:v>
                </c:pt>
                <c:pt idx="3">
                  <c:v>222.09727661106228</c:v>
                </c:pt>
                <c:pt idx="4">
                  <c:v>253.32714298116687</c:v>
                </c:pt>
                <c:pt idx="5">
                  <c:v>297.90603566083746</c:v>
                </c:pt>
                <c:pt idx="6">
                  <c:v>319.0943851214497</c:v>
                </c:pt>
                <c:pt idx="7">
                  <c:v>331.84364937488886</c:v>
                </c:pt>
                <c:pt idx="8">
                  <c:v>400.3918192594009</c:v>
                </c:pt>
                <c:pt idx="9">
                  <c:v>444.68602082793313</c:v>
                </c:pt>
                <c:pt idx="10">
                  <c:v>455.18551639458065</c:v>
                </c:pt>
                <c:pt idx="11">
                  <c:v>469.27421100790076</c:v>
                </c:pt>
                <c:pt idx="12">
                  <c:v>486.06180658485232</c:v>
                </c:pt>
                <c:pt idx="13">
                  <c:v>531.10116313393007</c:v>
                </c:pt>
                <c:pt idx="14">
                  <c:v>535.35584433730037</c:v>
                </c:pt>
                <c:pt idx="15">
                  <c:v>539.57563867345539</c:v>
                </c:pt>
                <c:pt idx="16">
                  <c:v>565.35319289399354</c:v>
                </c:pt>
                <c:pt idx="17">
                  <c:v>567.38948215056416</c:v>
                </c:pt>
                <c:pt idx="18">
                  <c:v>577.52176868579716</c:v>
                </c:pt>
                <c:pt idx="19">
                  <c:v>584.95054422829685</c:v>
                </c:pt>
                <c:pt idx="20">
                  <c:v>608.82421146753154</c:v>
                </c:pt>
                <c:pt idx="21">
                  <c:v>624.05670724114884</c:v>
                </c:pt>
                <c:pt idx="22">
                  <c:v>643.70959060668395</c:v>
                </c:pt>
                <c:pt idx="23">
                  <c:v>655.61135296740497</c:v>
                </c:pt>
                <c:pt idx="24">
                  <c:v>698.77657008716778</c:v>
                </c:pt>
                <c:pt idx="25">
                  <c:v>728.13601390098813</c:v>
                </c:pt>
                <c:pt idx="26">
                  <c:v>765.6984255751745</c:v>
                </c:pt>
                <c:pt idx="27">
                  <c:v>774.25399748757491</c:v>
                </c:pt>
                <c:pt idx="28">
                  <c:v>812.26904824128019</c:v>
                </c:pt>
                <c:pt idx="29">
                  <c:v>816.13041109276537</c:v>
                </c:pt>
                <c:pt idx="30">
                  <c:v>833.18678350513517</c:v>
                </c:pt>
                <c:pt idx="31">
                  <c:v>847.32186753355973</c:v>
                </c:pt>
                <c:pt idx="32">
                  <c:v>873.52042132881661</c:v>
                </c:pt>
                <c:pt idx="33">
                  <c:v>878.84449396970763</c:v>
                </c:pt>
                <c:pt idx="34">
                  <c:v>924.39058738124254</c:v>
                </c:pt>
                <c:pt idx="35">
                  <c:v>932.8035214315347</c:v>
                </c:pt>
                <c:pt idx="36">
                  <c:v>978.44176856960439</c:v>
                </c:pt>
                <c:pt idx="37">
                  <c:v>985.75553215684192</c:v>
                </c:pt>
                <c:pt idx="38">
                  <c:v>1035.5718657403031</c:v>
                </c:pt>
                <c:pt idx="39">
                  <c:v>1195.7587667564444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73-4E98-B1CD-FBC93D9E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81600"/>
        <c:axId val="139083776"/>
      </c:scatterChart>
      <c:valAx>
        <c:axId val="1390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Персентиль выборки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083776"/>
        <c:crosses val="autoZero"/>
        <c:crossBetween val="midCat"/>
      </c:valAx>
      <c:valAx>
        <c:axId val="139083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081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</xdr:colOff>
      <xdr:row>5</xdr:row>
      <xdr:rowOff>0</xdr:rowOff>
    </xdr:from>
    <xdr:to>
      <xdr:col>13</xdr:col>
      <xdr:colOff>1</xdr:colOff>
      <xdr:row>20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62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</xdr:colOff>
      <xdr:row>36</xdr:row>
      <xdr:rowOff>114300</xdr:rowOff>
    </xdr:from>
    <xdr:to>
      <xdr:col>11</xdr:col>
      <xdr:colOff>428625</xdr:colOff>
      <xdr:row>44</xdr:row>
      <xdr:rowOff>114300</xdr:rowOff>
    </xdr:to>
    <xdr:pic>
      <xdr:nvPicPr>
        <xdr:cNvPr id="5" name="Рисунок 4" descr="equatio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972300"/>
          <a:ext cx="146685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15</xdr:col>
      <xdr:colOff>0</xdr:colOff>
      <xdr:row>43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5</xdr:row>
      <xdr:rowOff>66675</xdr:rowOff>
    </xdr:from>
    <xdr:to>
      <xdr:col>10</xdr:col>
      <xdr:colOff>447535</xdr:colOff>
      <xdr:row>6</xdr:row>
      <xdr:rowOff>66651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1228725"/>
          <a:ext cx="1123810" cy="190476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5</xdr:row>
      <xdr:rowOff>66675</xdr:rowOff>
    </xdr:from>
    <xdr:to>
      <xdr:col>13</xdr:col>
      <xdr:colOff>285567</xdr:colOff>
      <xdr:row>6</xdr:row>
      <xdr:rowOff>66651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1228725"/>
          <a:ext cx="1466667" cy="190476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21</xdr:row>
      <xdr:rowOff>0</xdr:rowOff>
    </xdr:from>
    <xdr:to>
      <xdr:col>7</xdr:col>
      <xdr:colOff>390396</xdr:colOff>
      <xdr:row>21</xdr:row>
      <xdr:rowOff>190476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238625"/>
          <a:ext cx="1028571" cy="1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19</xdr:col>
      <xdr:colOff>0</xdr:colOff>
      <xdr:row>19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4</xdr:row>
      <xdr:rowOff>0</xdr:rowOff>
    </xdr:from>
    <xdr:to>
      <xdr:col>11</xdr:col>
      <xdr:colOff>0</xdr:colOff>
      <xdr:row>20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647699</xdr:colOff>
      <xdr:row>4</xdr:row>
      <xdr:rowOff>0</xdr:rowOff>
    </xdr:from>
    <xdr:to>
      <xdr:col>16</xdr:col>
      <xdr:colOff>666749</xdr:colOff>
      <xdr:row>20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123824</xdr:colOff>
      <xdr:row>4</xdr:row>
      <xdr:rowOff>0</xdr:rowOff>
    </xdr:from>
    <xdr:to>
      <xdr:col>26</xdr:col>
      <xdr:colOff>0</xdr:colOff>
      <xdr:row>20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7</xdr:col>
      <xdr:colOff>1</xdr:colOff>
      <xdr:row>20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42</xdr:row>
      <xdr:rowOff>0</xdr:rowOff>
    </xdr:from>
    <xdr:to>
      <xdr:col>20</xdr:col>
      <xdr:colOff>0</xdr:colOff>
      <xdr:row>55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55</xdr:row>
      <xdr:rowOff>0</xdr:rowOff>
    </xdr:from>
    <xdr:to>
      <xdr:col>20</xdr:col>
      <xdr:colOff>0</xdr:colOff>
      <xdr:row>68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28</xdr:row>
      <xdr:rowOff>0</xdr:rowOff>
    </xdr:from>
    <xdr:to>
      <xdr:col>20</xdr:col>
      <xdr:colOff>0</xdr:colOff>
      <xdr:row>42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171450</xdr:colOff>
      <xdr:row>27</xdr:row>
      <xdr:rowOff>180975</xdr:rowOff>
    </xdr:from>
    <xdr:to>
      <xdr:col>34</xdr:col>
      <xdr:colOff>171450</xdr:colOff>
      <xdr:row>38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180975</xdr:colOff>
      <xdr:row>38</xdr:row>
      <xdr:rowOff>152400</xdr:rowOff>
    </xdr:from>
    <xdr:to>
      <xdr:col>34</xdr:col>
      <xdr:colOff>180975</xdr:colOff>
      <xdr:row>48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180975</xdr:colOff>
      <xdr:row>49</xdr:row>
      <xdr:rowOff>114300</xdr:rowOff>
    </xdr:from>
    <xdr:to>
      <xdr:col>34</xdr:col>
      <xdr:colOff>180975</xdr:colOff>
      <xdr:row>59</xdr:row>
      <xdr:rowOff>142875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prostaya-lineynaya-regress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prostaya-lineynaya-regress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prostaya-lineynaya-regress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prostaya-lineynaya-regress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prostaya-lineynaya-regress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ispolzovanie-paketa-analiza-ms-excel-dlya-postroeniya-prostoy-lineynoy-regressionnoy-modeli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tabSelected="1" topLeftCell="A10" zoomScaleNormal="100" workbookViewId="0">
      <selection activeCell="U2" sqref="U2"/>
    </sheetView>
  </sheetViews>
  <sheetFormatPr defaultRowHeight="12.75" x14ac:dyDescent="0.2"/>
  <cols>
    <col min="1" max="1" width="18.85546875" style="4" customWidth="1"/>
    <col min="2" max="2" width="15.85546875" style="4" customWidth="1"/>
    <col min="3" max="4" width="12.42578125" style="4" customWidth="1"/>
    <col min="5" max="5" width="9.85546875" style="4" customWidth="1"/>
    <col min="6" max="6" width="8.140625" style="4" customWidth="1"/>
    <col min="7" max="7" width="1.140625" style="4" customWidth="1"/>
    <col min="8" max="8" width="8.140625" style="4" customWidth="1"/>
    <col min="9" max="9" width="12" style="4" bestFit="1" customWidth="1"/>
    <col min="10" max="10" width="6" style="4" customWidth="1"/>
    <col min="11" max="11" width="15.85546875" style="4" customWidth="1"/>
    <col min="12" max="12" width="12.42578125" style="4" customWidth="1"/>
    <col min="13" max="13" width="12" style="4" customWidth="1"/>
    <col min="14" max="14" width="10" style="4" customWidth="1"/>
    <col min="15" max="15" width="9.42578125" style="4" customWidth="1"/>
    <col min="16" max="16" width="4.140625" style="4" customWidth="1"/>
    <col min="17" max="17" width="12.140625" style="4" customWidth="1"/>
    <col min="18" max="18" width="10" style="4" customWidth="1"/>
    <col min="19" max="19" width="4.85546875" style="4" customWidth="1"/>
    <col min="20" max="20" width="9.7109375" style="4" customWidth="1"/>
    <col min="21" max="21" width="8.140625" style="4" customWidth="1"/>
    <col min="22" max="247" width="9.140625" style="4"/>
    <col min="248" max="248" width="10" style="4" customWidth="1"/>
    <col min="249" max="16384" width="9.140625" style="4"/>
  </cols>
  <sheetData>
    <row r="1" spans="1:21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1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10" t="s">
        <v>176</v>
      </c>
    </row>
    <row r="3" spans="1:21" ht="18.75" x14ac:dyDescent="0.2">
      <c r="A3" s="1" t="s">
        <v>132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5">
      <c r="A4" s="12" t="s">
        <v>134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x14ac:dyDescent="0.2">
      <c r="H5" s="4" t="s">
        <v>149</v>
      </c>
      <c r="O5" s="11" t="s">
        <v>142</v>
      </c>
    </row>
    <row r="6" spans="1:21" ht="25.5" x14ac:dyDescent="0.2">
      <c r="A6" s="11" t="s">
        <v>137</v>
      </c>
      <c r="O6" s="87" t="s">
        <v>133</v>
      </c>
      <c r="P6" s="88" t="s">
        <v>9</v>
      </c>
      <c r="Q6" s="89" t="s">
        <v>24</v>
      </c>
      <c r="R6" s="91" t="s">
        <v>22</v>
      </c>
    </row>
    <row r="7" spans="1:21" x14ac:dyDescent="0.2">
      <c r="A7" s="8" t="s">
        <v>14</v>
      </c>
      <c r="B7" s="8" t="s">
        <v>139</v>
      </c>
      <c r="O7" s="4">
        <v>1</v>
      </c>
      <c r="P7" s="4">
        <f>INDEX($B$23:$B$83,MATCH(O7,$A$23:$A$83,0))</f>
        <v>10</v>
      </c>
      <c r="Q7" s="4">
        <f>$B$8*P7+$B$9</f>
        <v>130</v>
      </c>
      <c r="R7" s="16">
        <f ca="1">$B$17*P7+$B$18</f>
        <v>133.96130627792581</v>
      </c>
    </row>
    <row r="8" spans="1:21" x14ac:dyDescent="0.2">
      <c r="A8" s="9" t="s">
        <v>43</v>
      </c>
      <c r="B8" s="14">
        <v>3</v>
      </c>
      <c r="O8" s="4">
        <f>B13</f>
        <v>61</v>
      </c>
      <c r="P8" s="4">
        <f>INDEX($B$23:$B$83,MATCH(O8,$A$23:$A$83,0))</f>
        <v>310</v>
      </c>
      <c r="Q8" s="4">
        <f>$B$8*P8+$B$9</f>
        <v>1030</v>
      </c>
      <c r="R8" s="16">
        <f ca="1">$B$17*P8+$B$18</f>
        <v>1028.6317388923571</v>
      </c>
    </row>
    <row r="9" spans="1:21" x14ac:dyDescent="0.2">
      <c r="A9" s="9" t="s">
        <v>44</v>
      </c>
      <c r="B9" s="14">
        <v>100</v>
      </c>
    </row>
    <row r="11" spans="1:21" x14ac:dyDescent="0.2">
      <c r="A11" s="9" t="s">
        <v>6</v>
      </c>
      <c r="B11" s="14">
        <v>10</v>
      </c>
    </row>
    <row r="12" spans="1:21" x14ac:dyDescent="0.2">
      <c r="A12" s="9" t="s">
        <v>7</v>
      </c>
      <c r="B12" s="14">
        <v>5</v>
      </c>
    </row>
    <row r="13" spans="1:21" x14ac:dyDescent="0.2">
      <c r="A13" s="9" t="s">
        <v>10</v>
      </c>
      <c r="B13" s="15">
        <f>COUNT(A23:A83)</f>
        <v>61</v>
      </c>
    </row>
    <row r="14" spans="1:21" x14ac:dyDescent="0.2">
      <c r="A14" s="9" t="s">
        <v>8</v>
      </c>
      <c r="B14" s="9">
        <f>B11+B12*(B13-1)</f>
        <v>310</v>
      </c>
    </row>
    <row r="15" spans="1:21" x14ac:dyDescent="0.2">
      <c r="A15" s="22" t="s">
        <v>12</v>
      </c>
      <c r="B15" s="17">
        <v>0.2</v>
      </c>
      <c r="C15" s="11" t="s">
        <v>13</v>
      </c>
    </row>
    <row r="16" spans="1:21" ht="38.25" customHeight="1" x14ac:dyDescent="0.2"/>
    <row r="17" spans="1:21" ht="25.5" x14ac:dyDescent="0.2">
      <c r="A17" s="18" t="s">
        <v>18</v>
      </c>
      <c r="B17" s="20">
        <f ca="1">SLOPE(C23:C83,B23:B83)</f>
        <v>2.9822347753814378</v>
      </c>
      <c r="C17" s="20">
        <f ca="1">LINEST(C23:C83,B23:B83)</f>
        <v>2.9822347753814369</v>
      </c>
      <c r="D17" s="84">
        <f t="array" aca="1" ref="D17:D18" ca="1">TRANSPOSE(LINEST(C23:C83,B23:B83))</f>
        <v>2.9822347753814369</v>
      </c>
      <c r="E17" s="20">
        <f ca="1">B19*(_xlfn.STDEV.S(C23:C83)/_xlfn.STDEV.S(B23:B83))</f>
        <v>2.982234775381436</v>
      </c>
      <c r="F17" s="20">
        <f ca="1">_xlfn.COVARIANCE.S(B23:B83,C23:C83)/_xlfn.VAR.S(B23:B83)</f>
        <v>2.9822347753814378</v>
      </c>
    </row>
    <row r="18" spans="1:21" ht="25.5" x14ac:dyDescent="0.2">
      <c r="A18" s="18" t="s">
        <v>19</v>
      </c>
      <c r="B18" s="20">
        <f ca="1">INTERCEPT(C23:C83,B23:B83)</f>
        <v>104.13895852411144</v>
      </c>
      <c r="C18" s="20">
        <f ca="1">INDEX(LINEST(C23:C83,B23:B83),2)</f>
        <v>104.13895852411156</v>
      </c>
      <c r="D18" s="84">
        <f ca="1"/>
        <v>104.13895852411156</v>
      </c>
      <c r="E18" s="20">
        <f ca="1">AVERAGE(C23:C83)-E17*AVERAGE(B23:B83)</f>
        <v>104.13895852411173</v>
      </c>
    </row>
    <row r="19" spans="1:21" x14ac:dyDescent="0.2">
      <c r="A19" s="8" t="s">
        <v>15</v>
      </c>
      <c r="B19" s="19">
        <f ca="1">CORREL(B23:B83,C23:C83)</f>
        <v>0.89902385708276966</v>
      </c>
      <c r="C19" s="19">
        <f ca="1">PEARSON(B23:B83,C23:C83)</f>
        <v>0.89902385708276966</v>
      </c>
    </row>
    <row r="20" spans="1:21" ht="15" x14ac:dyDescent="0.2">
      <c r="A20" s="8" t="s">
        <v>16</v>
      </c>
      <c r="B20" s="20">
        <f ca="1">B19*B19</f>
        <v>0.80824389560398024</v>
      </c>
      <c r="C20" s="20">
        <f ca="1">RSQ(B23:B83,C23:C83)</f>
        <v>0.80824389560398069</v>
      </c>
      <c r="D20" s="20">
        <f ca="1">INDEX(LINEST(C23:C83,B23:B83,,TRUE),3)</f>
        <v>0.80824389560398036</v>
      </c>
    </row>
    <row r="22" spans="1:21" x14ac:dyDescent="0.2">
      <c r="A22" s="82" t="s">
        <v>133</v>
      </c>
      <c r="B22" s="10" t="s">
        <v>20</v>
      </c>
      <c r="C22" s="10" t="s">
        <v>21</v>
      </c>
      <c r="D22" s="10" t="s">
        <v>17</v>
      </c>
      <c r="E22" s="83" t="str">
        <f>R6</f>
        <v>Y линия регрессии</v>
      </c>
      <c r="H22" s="7" t="s">
        <v>34</v>
      </c>
      <c r="I22" s="7" t="s">
        <v>39</v>
      </c>
      <c r="K22" s="35" t="s">
        <v>96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 x14ac:dyDescent="0.2">
      <c r="A23" s="4">
        <v>1</v>
      </c>
      <c r="B23" s="4">
        <f>$B$11+(A23-1)*$B$12</f>
        <v>10</v>
      </c>
      <c r="C23" s="16">
        <f t="shared" ref="C23:C54" ca="1" si="0">IF(AND($B$15&gt;0,AVERAGE($D$23:$D$83)),_xlfn.NORM.INV(RAND(),D23,$B$15*ABS(AVERAGE($D$23:$D$83))),D23)</f>
        <v>88.862866116531904</v>
      </c>
      <c r="D23" s="4">
        <f>$B$8*B23+$B$9</f>
        <v>130</v>
      </c>
      <c r="E23" s="16">
        <f ca="1">$B$17*B23+$B$18</f>
        <v>133.96130627792581</v>
      </c>
      <c r="H23" s="16">
        <f ca="1">C23-E23</f>
        <v>-45.09844016139391</v>
      </c>
      <c r="I23" s="16">
        <f ca="1">TREND($C$23:$C$83,$B$23:$B$83,B23)</f>
        <v>133.96130627792593</v>
      </c>
    </row>
    <row r="24" spans="1:21" x14ac:dyDescent="0.2">
      <c r="A24" s="4">
        <v>2</v>
      </c>
      <c r="B24" s="4">
        <f t="shared" ref="B24:B54" si="1">$B$11+(A24-1)*$B$12</f>
        <v>15</v>
      </c>
      <c r="C24" s="16">
        <f t="shared" ca="1" si="0"/>
        <v>47.012388134725924</v>
      </c>
      <c r="D24" s="4">
        <f t="shared" ref="D24:D83" si="2">$B$8*B24+$B$9</f>
        <v>145</v>
      </c>
      <c r="E24" s="16">
        <f t="shared" ref="E24:E83" ca="1" si="3">$B$17*B24+$B$18</f>
        <v>148.872480154833</v>
      </c>
      <c r="H24" s="16">
        <f t="shared" ref="H24:H83" ca="1" si="4">C24-E24</f>
        <v>-101.86009202010707</v>
      </c>
      <c r="I24" s="16">
        <f t="shared" ref="I24:I83" ca="1" si="5">TREND($C$23:$C$83,$B$23:$B$83,B24)</f>
        <v>148.87248015483311</v>
      </c>
      <c r="K24" s="96" t="s">
        <v>150</v>
      </c>
      <c r="L24" s="96" t="s">
        <v>139</v>
      </c>
      <c r="M24" s="96" t="s">
        <v>84</v>
      </c>
      <c r="P24" s="11" t="s">
        <v>146</v>
      </c>
      <c r="T24" s="11" t="s">
        <v>51</v>
      </c>
    </row>
    <row r="25" spans="1:21" x14ac:dyDescent="0.2">
      <c r="A25" s="4">
        <v>3</v>
      </c>
      <c r="B25" s="4">
        <f t="shared" si="1"/>
        <v>20</v>
      </c>
      <c r="C25" s="16">
        <f t="shared" ca="1" si="0"/>
        <v>251.1600380945527</v>
      </c>
      <c r="D25" s="4">
        <f t="shared" si="2"/>
        <v>160</v>
      </c>
      <c r="E25" s="16">
        <f t="shared" ca="1" si="3"/>
        <v>163.78365403174018</v>
      </c>
      <c r="H25" s="16">
        <f t="shared" ca="1" si="4"/>
        <v>87.376384062812519</v>
      </c>
      <c r="I25" s="16">
        <f t="shared" ca="1" si="5"/>
        <v>163.7836540317403</v>
      </c>
      <c r="K25" s="9" t="s">
        <v>38</v>
      </c>
      <c r="L25" s="9">
        <f>COUNT($B$23:$B$83)</f>
        <v>61</v>
      </c>
      <c r="Q25" s="97">
        <v>1</v>
      </c>
      <c r="R25" s="97">
        <v>2</v>
      </c>
      <c r="T25" s="4" t="s">
        <v>35</v>
      </c>
    </row>
    <row r="26" spans="1:21" x14ac:dyDescent="0.2">
      <c r="A26" s="4">
        <v>4</v>
      </c>
      <c r="B26" s="4">
        <f t="shared" si="1"/>
        <v>25</v>
      </c>
      <c r="C26" s="16">
        <f t="shared" ca="1" si="0"/>
        <v>30.963202117293292</v>
      </c>
      <c r="D26" s="4">
        <f t="shared" si="2"/>
        <v>175</v>
      </c>
      <c r="E26" s="16">
        <f t="shared" ca="1" si="3"/>
        <v>178.69482790864737</v>
      </c>
      <c r="H26" s="16">
        <f t="shared" ca="1" si="4"/>
        <v>-147.73162579135408</v>
      </c>
      <c r="I26" s="16">
        <f t="shared" ca="1" si="5"/>
        <v>178.69482790864748</v>
      </c>
      <c r="K26" s="9" t="s">
        <v>48</v>
      </c>
      <c r="L26" s="19">
        <f>AVERAGE($B$23:$B$83)</f>
        <v>160</v>
      </c>
      <c r="P26" s="97">
        <v>1</v>
      </c>
      <c r="Q26" s="4">
        <f t="shared" ref="Q26:R30" ca="1" si="6">INDEX(LINEST($C$23:$C$83,$B$23:$B$83,,TRUE),$P26,Q$25)</f>
        <v>2.9822347753814369</v>
      </c>
      <c r="R26" s="37">
        <f t="shared" ca="1" si="6"/>
        <v>104.13895852411156</v>
      </c>
      <c r="T26" s="4" t="str">
        <f t="array" ref="T26:U30">{"a","b";"se","seb";"r2","sey";"F","df";"ssreg","ssresid"}</f>
        <v>a</v>
      </c>
      <c r="U26" s="4" t="str">
        <v>b</v>
      </c>
    </row>
    <row r="27" spans="1:21" x14ac:dyDescent="0.2">
      <c r="A27" s="4">
        <v>5</v>
      </c>
      <c r="B27" s="4">
        <f t="shared" si="1"/>
        <v>30</v>
      </c>
      <c r="C27" s="16">
        <f t="shared" ca="1" si="0"/>
        <v>270.24676115036306</v>
      </c>
      <c r="D27" s="4">
        <f t="shared" si="2"/>
        <v>190</v>
      </c>
      <c r="E27" s="16">
        <f t="shared" ca="1" si="3"/>
        <v>193.60600178555458</v>
      </c>
      <c r="H27" s="16">
        <f t="shared" ca="1" si="4"/>
        <v>76.640759364808474</v>
      </c>
      <c r="I27" s="16">
        <f t="shared" ca="1" si="5"/>
        <v>193.60600178555467</v>
      </c>
      <c r="K27" s="9" t="s">
        <v>37</v>
      </c>
      <c r="L27" s="19">
        <f ca="1">AVERAGE(C23:C83)</f>
        <v>581.29652258514147</v>
      </c>
      <c r="M27" s="19">
        <f ca="1">AVERAGE(E23:E83)</f>
        <v>581.29652258514147</v>
      </c>
      <c r="P27" s="97">
        <v>2</v>
      </c>
      <c r="Q27" s="4">
        <f t="shared" ca="1" si="6"/>
        <v>0.1891120519030306</v>
      </c>
      <c r="R27" s="37">
        <f t="shared" ca="1" si="6"/>
        <v>34.535609573821063</v>
      </c>
      <c r="T27" s="4" t="str">
        <v>se</v>
      </c>
      <c r="U27" s="4" t="str">
        <v>seb</v>
      </c>
    </row>
    <row r="28" spans="1:21" x14ac:dyDescent="0.2">
      <c r="A28" s="4">
        <v>6</v>
      </c>
      <c r="B28" s="4">
        <f t="shared" si="1"/>
        <v>35</v>
      </c>
      <c r="C28" s="16">
        <f t="shared" ca="1" si="0"/>
        <v>229.17210946189493</v>
      </c>
      <c r="D28" s="4">
        <f t="shared" si="2"/>
        <v>205</v>
      </c>
      <c r="E28" s="16">
        <f t="shared" ca="1" si="3"/>
        <v>208.51717566246177</v>
      </c>
      <c r="H28" s="16">
        <f t="shared" ca="1" si="4"/>
        <v>20.654933799433167</v>
      </c>
      <c r="I28" s="16">
        <f t="shared" ca="1" si="5"/>
        <v>208.51717566246185</v>
      </c>
      <c r="K28" s="9" t="s">
        <v>36</v>
      </c>
      <c r="L28" s="9">
        <f ca="1">_xlfn.VAR.S(C23:C83)*(L25-1)</f>
        <v>5202028.9477633946</v>
      </c>
      <c r="P28" s="97">
        <v>3</v>
      </c>
      <c r="Q28" s="4">
        <f t="shared" ca="1" si="6"/>
        <v>0.80824389560398036</v>
      </c>
      <c r="R28" s="37">
        <f t="shared" ca="1" si="6"/>
        <v>130.02742904756371</v>
      </c>
      <c r="T28" s="4" t="str">
        <v>r2</v>
      </c>
      <c r="U28" s="4" t="str">
        <v>sey</v>
      </c>
    </row>
    <row r="29" spans="1:21" x14ac:dyDescent="0.2">
      <c r="A29" s="4">
        <v>7</v>
      </c>
      <c r="B29" s="4">
        <f t="shared" si="1"/>
        <v>40</v>
      </c>
      <c r="C29" s="16">
        <f t="shared" ca="1" si="0"/>
        <v>242.90035637162802</v>
      </c>
      <c r="D29" s="4">
        <f t="shared" si="2"/>
        <v>220</v>
      </c>
      <c r="E29" s="16">
        <f t="shared" ca="1" si="3"/>
        <v>223.42834953936895</v>
      </c>
      <c r="H29" s="16">
        <f t="shared" ca="1" si="4"/>
        <v>19.472006832259069</v>
      </c>
      <c r="I29" s="16">
        <f t="shared" ca="1" si="5"/>
        <v>223.42834953936904</v>
      </c>
      <c r="K29" s="9" t="s">
        <v>46</v>
      </c>
      <c r="L29" s="39">
        <f ca="1">_xlfn.VAR.S(E23:E83)*(L25-1)</f>
        <v>4204508.1417849623</v>
      </c>
      <c r="M29" s="9">
        <f ca="1">_xlfn.COVARIANCE.S(B23:B83,C23:C83)*(L25-1)*B17</f>
        <v>4204508.1417849651</v>
      </c>
      <c r="N29" s="9">
        <f ca="1">B17*B17*_xlfn.VAR.S(B23:B83)*(L25-1)</f>
        <v>4204508.141784966</v>
      </c>
      <c r="P29" s="97">
        <v>4</v>
      </c>
      <c r="Q29" s="4">
        <f t="shared" ca="1" si="6"/>
        <v>248.68251256372895</v>
      </c>
      <c r="R29" s="4">
        <f t="shared" ca="1" si="6"/>
        <v>59</v>
      </c>
      <c r="T29" s="4" t="str">
        <v>F</v>
      </c>
      <c r="U29" s="4" t="str">
        <v>df</v>
      </c>
    </row>
    <row r="30" spans="1:21" x14ac:dyDescent="0.2">
      <c r="A30" s="4">
        <v>8</v>
      </c>
      <c r="B30" s="4">
        <f t="shared" si="1"/>
        <v>45</v>
      </c>
      <c r="C30" s="16">
        <f t="shared" ca="1" si="0"/>
        <v>290.80108472018736</v>
      </c>
      <c r="D30" s="4">
        <f t="shared" si="2"/>
        <v>235</v>
      </c>
      <c r="E30" s="16">
        <f t="shared" ca="1" si="3"/>
        <v>238.33952341627614</v>
      </c>
      <c r="H30" s="16">
        <f t="shared" ca="1" si="4"/>
        <v>52.461561303911225</v>
      </c>
      <c r="I30" s="16">
        <f t="shared" ca="1" si="5"/>
        <v>238.33952341627622</v>
      </c>
      <c r="K30" s="9" t="s">
        <v>47</v>
      </c>
      <c r="L30" s="39">
        <f ca="1">SUMXMY2(C23:C83,E23:E83)</f>
        <v>997520.80597843393</v>
      </c>
      <c r="M30" s="9">
        <f ca="1">_xlfn.VAR.S(C23:C83)*(B13-1)-B17*_xlfn.COVARIANCE.S(B23:B83,C23:C83)*(B13-1)</f>
        <v>997520.80597842857</v>
      </c>
      <c r="N30" s="39">
        <f ca="1">SUMXMY2(C23:C83,TREND($C$23:$C$83,$B$23:$B$83,B23:B83))</f>
        <v>997520.80597843404</v>
      </c>
      <c r="P30" s="97">
        <v>5</v>
      </c>
      <c r="Q30" s="4">
        <f t="shared" ca="1" si="6"/>
        <v>4204508.1417849641</v>
      </c>
      <c r="R30" s="4">
        <f t="shared" ca="1" si="6"/>
        <v>997520.80597843381</v>
      </c>
      <c r="T30" s="4" t="str">
        <v>ssreg</v>
      </c>
      <c r="U30" s="4" t="str">
        <v>ssresid</v>
      </c>
    </row>
    <row r="31" spans="1:21" x14ac:dyDescent="0.2">
      <c r="A31" s="4">
        <v>9</v>
      </c>
      <c r="B31" s="4">
        <f t="shared" si="1"/>
        <v>50</v>
      </c>
      <c r="C31" s="16">
        <f t="shared" ca="1" si="0"/>
        <v>424.80320299358942</v>
      </c>
      <c r="D31" s="4">
        <f t="shared" si="2"/>
        <v>250</v>
      </c>
      <c r="E31" s="16">
        <f t="shared" ca="1" si="3"/>
        <v>253.25069729318332</v>
      </c>
      <c r="H31" s="16">
        <f t="shared" ca="1" si="4"/>
        <v>171.5525057004061</v>
      </c>
      <c r="I31" s="16">
        <f t="shared" ca="1" si="5"/>
        <v>253.25069729318341</v>
      </c>
      <c r="K31" s="9" t="s">
        <v>52</v>
      </c>
      <c r="L31" s="9">
        <f ca="1">SQRT(L30/(L25-2))</f>
        <v>130.02742904756374</v>
      </c>
      <c r="M31" s="9">
        <f ca="1">_xlfn.STDEV.S(C23:C83)*SQRT((1-B20)*(B13-1)/(B13-2))</f>
        <v>130.02742904756374</v>
      </c>
    </row>
    <row r="32" spans="1:21" x14ac:dyDescent="0.2">
      <c r="A32" s="4">
        <v>10</v>
      </c>
      <c r="B32" s="4">
        <f t="shared" si="1"/>
        <v>55</v>
      </c>
      <c r="C32" s="16">
        <f t="shared" ca="1" si="0"/>
        <v>108.55373538466083</v>
      </c>
      <c r="D32" s="4">
        <f t="shared" si="2"/>
        <v>265</v>
      </c>
      <c r="E32" s="16">
        <f t="shared" ca="1" si="3"/>
        <v>268.16187117009054</v>
      </c>
      <c r="H32" s="16">
        <f t="shared" ca="1" si="4"/>
        <v>-159.60813578542971</v>
      </c>
      <c r="I32" s="16">
        <f t="shared" ca="1" si="5"/>
        <v>268.16187117009059</v>
      </c>
      <c r="K32" s="9" t="s">
        <v>45</v>
      </c>
      <c r="L32" s="40">
        <f ca="1">L31/_xlfn.STDEV.S(B23:B83)/SQRT(L25-1)</f>
        <v>0.18911205190303063</v>
      </c>
      <c r="P32" s="11" t="s">
        <v>84</v>
      </c>
    </row>
    <row r="33" spans="1:18" x14ac:dyDescent="0.2">
      <c r="A33" s="4">
        <v>11</v>
      </c>
      <c r="B33" s="4">
        <f t="shared" si="1"/>
        <v>60</v>
      </c>
      <c r="C33" s="16">
        <f t="shared" ca="1" si="0"/>
        <v>233.1170475684809</v>
      </c>
      <c r="D33" s="4">
        <f t="shared" si="2"/>
        <v>280</v>
      </c>
      <c r="E33" s="16">
        <f t="shared" ca="1" si="3"/>
        <v>283.07304504699772</v>
      </c>
      <c r="H33" s="16">
        <f t="shared" ca="1" si="4"/>
        <v>-49.955997478516821</v>
      </c>
      <c r="I33" s="16">
        <f t="shared" ca="1" si="5"/>
        <v>283.07304504699778</v>
      </c>
      <c r="K33" s="9" t="s">
        <v>49</v>
      </c>
      <c r="L33" s="19">
        <f ca="1">L31*SQRT(1/L25+(AVERAGE(B23:B83)^2)/(_xlfn.VAR.S(B23:B83)*(L25-1)))</f>
        <v>34.53560957382107</v>
      </c>
      <c r="Q33" s="97">
        <v>1</v>
      </c>
      <c r="R33" s="97">
        <v>2</v>
      </c>
    </row>
    <row r="34" spans="1:18" x14ac:dyDescent="0.2">
      <c r="A34" s="4">
        <v>12</v>
      </c>
      <c r="B34" s="4">
        <f t="shared" si="1"/>
        <v>65</v>
      </c>
      <c r="C34" s="16">
        <f t="shared" ca="1" si="0"/>
        <v>330.62913344803286</v>
      </c>
      <c r="D34" s="4">
        <f t="shared" si="2"/>
        <v>295</v>
      </c>
      <c r="E34" s="16">
        <f t="shared" ca="1" si="3"/>
        <v>297.9842189239049</v>
      </c>
      <c r="H34" s="16">
        <f t="shared" ca="1" si="4"/>
        <v>32.644914524127955</v>
      </c>
      <c r="I34" s="16">
        <f t="shared" ca="1" si="5"/>
        <v>297.98421892390496</v>
      </c>
      <c r="K34" s="9" t="s">
        <v>50</v>
      </c>
      <c r="L34" s="19">
        <f ca="1">L29/L30*(L25-2)</f>
        <v>248.68251256372884</v>
      </c>
      <c r="P34" s="97">
        <v>1</v>
      </c>
      <c r="Q34" s="4">
        <f ca="1">SLOPE(C23:C83,B23:B83)</f>
        <v>2.9822347753814378</v>
      </c>
      <c r="R34" s="37">
        <f ca="1">INTERCEPT(C23:C83,B23:B83)</f>
        <v>104.13895852411144</v>
      </c>
    </row>
    <row r="35" spans="1:18" x14ac:dyDescent="0.2">
      <c r="A35" s="4">
        <v>13</v>
      </c>
      <c r="B35" s="4">
        <f t="shared" si="1"/>
        <v>70</v>
      </c>
      <c r="C35" s="16">
        <f t="shared" ca="1" si="0"/>
        <v>361.11444224548211</v>
      </c>
      <c r="D35" s="4">
        <f t="shared" si="2"/>
        <v>310</v>
      </c>
      <c r="E35" s="16">
        <f t="shared" ca="1" si="3"/>
        <v>312.89539280081209</v>
      </c>
      <c r="H35" s="16">
        <f t="shared" ca="1" si="4"/>
        <v>48.21904944467002</v>
      </c>
      <c r="I35" s="16">
        <f t="shared" ca="1" si="5"/>
        <v>312.89539280081215</v>
      </c>
      <c r="K35" s="19" t="s">
        <v>53</v>
      </c>
      <c r="L35" s="9">
        <f>L25-2</f>
        <v>59</v>
      </c>
      <c r="P35" s="97">
        <v>2</v>
      </c>
      <c r="Q35" s="4">
        <f ca="1">R36/_xlfn.STDEV.S(B23:B83)/SQRT(COUNT(B23:B83)-1)</f>
        <v>0.18911205190303063</v>
      </c>
      <c r="R35" s="37">
        <f ca="1">R36*SQRT(1/COUNT(B23:B83)+(AVERAGE(B23:B83)^2)/(_xlfn.VAR.S(B23:B83)*(COUNT(B23:B83)-1)))</f>
        <v>34.53560957382107</v>
      </c>
    </row>
    <row r="36" spans="1:18" ht="15" x14ac:dyDescent="0.2">
      <c r="A36" s="4">
        <v>14</v>
      </c>
      <c r="B36" s="4">
        <f t="shared" si="1"/>
        <v>75</v>
      </c>
      <c r="C36" s="16">
        <f t="shared" ca="1" si="0"/>
        <v>201.19328043559568</v>
      </c>
      <c r="D36" s="4">
        <f t="shared" si="2"/>
        <v>325</v>
      </c>
      <c r="E36" s="16">
        <f t="shared" ca="1" si="3"/>
        <v>327.80656667771927</v>
      </c>
      <c r="H36" s="16">
        <f t="shared" ca="1" si="4"/>
        <v>-126.61328624212359</v>
      </c>
      <c r="I36" s="16">
        <f t="shared" ca="1" si="5"/>
        <v>327.80656667771933</v>
      </c>
      <c r="K36" s="19" t="s">
        <v>63</v>
      </c>
      <c r="L36" s="20">
        <f ca="1">L29/L28</f>
        <v>0.80824389560398058</v>
      </c>
      <c r="P36" s="97">
        <v>3</v>
      </c>
      <c r="Q36" s="4">
        <f ca="1">RSQ(B23:B83,C23:C83)</f>
        <v>0.80824389560398069</v>
      </c>
      <c r="R36" s="37">
        <f ca="1">SQRT(SUMXMY2(C23:C83,E23:E83)/(COUNT(B23:B83)-2))</f>
        <v>130.02742904756374</v>
      </c>
    </row>
    <row r="37" spans="1:18" x14ac:dyDescent="0.2">
      <c r="A37" s="4">
        <v>15</v>
      </c>
      <c r="B37" s="4">
        <f t="shared" si="1"/>
        <v>80</v>
      </c>
      <c r="C37" s="16">
        <f t="shared" ca="1" si="0"/>
        <v>464.07140961706824</v>
      </c>
      <c r="D37" s="4">
        <f t="shared" si="2"/>
        <v>340</v>
      </c>
      <c r="E37" s="16">
        <f t="shared" ca="1" si="3"/>
        <v>342.71774055462646</v>
      </c>
      <c r="H37" s="16">
        <f t="shared" ca="1" si="4"/>
        <v>121.35366906244178</v>
      </c>
      <c r="I37" s="16">
        <f t="shared" ca="1" si="5"/>
        <v>342.71774055462652</v>
      </c>
      <c r="P37" s="97">
        <v>4</v>
      </c>
      <c r="Q37" s="4">
        <f ca="1">Q38/R38*R37</f>
        <v>248.68251256372884</v>
      </c>
      <c r="R37" s="4">
        <f>COUNT(B23:B83)-2</f>
        <v>59</v>
      </c>
    </row>
    <row r="38" spans="1:18" x14ac:dyDescent="0.2">
      <c r="A38" s="4">
        <v>16</v>
      </c>
      <c r="B38" s="4">
        <f t="shared" si="1"/>
        <v>85</v>
      </c>
      <c r="C38" s="16">
        <f t="shared" ca="1" si="0"/>
        <v>579.14685415480631</v>
      </c>
      <c r="D38" s="4">
        <f t="shared" si="2"/>
        <v>355</v>
      </c>
      <c r="E38" s="16">
        <f t="shared" ca="1" si="3"/>
        <v>357.62891443153364</v>
      </c>
      <c r="H38" s="16">
        <f t="shared" ca="1" si="4"/>
        <v>221.51793972327266</v>
      </c>
      <c r="I38" s="16">
        <f t="shared" ca="1" si="5"/>
        <v>357.6289144315337</v>
      </c>
      <c r="P38" s="97">
        <v>5</v>
      </c>
      <c r="Q38" s="4">
        <f ca="1">_xlfn.VAR.S(E23:E83)*(COUNT(B23:B83)-1)</f>
        <v>4204508.1417849623</v>
      </c>
      <c r="R38" s="4">
        <f ca="1">SUMXMY2(C23:C83,E23:E83)</f>
        <v>997520.80597843393</v>
      </c>
    </row>
    <row r="39" spans="1:18" x14ac:dyDescent="0.2">
      <c r="A39" s="4">
        <v>17</v>
      </c>
      <c r="B39" s="4">
        <f t="shared" si="1"/>
        <v>90</v>
      </c>
      <c r="C39" s="16">
        <f t="shared" ca="1" si="0"/>
        <v>635.24920972038785</v>
      </c>
      <c r="D39" s="4">
        <f t="shared" si="2"/>
        <v>370</v>
      </c>
      <c r="E39" s="16">
        <f t="shared" ca="1" si="3"/>
        <v>372.54008830844083</v>
      </c>
      <c r="H39" s="16">
        <f t="shared" ca="1" si="4"/>
        <v>262.70912141194702</v>
      </c>
      <c r="I39" s="16">
        <f t="shared" ca="1" si="5"/>
        <v>372.54008830844089</v>
      </c>
    </row>
    <row r="40" spans="1:18" x14ac:dyDescent="0.2">
      <c r="A40" s="4">
        <v>18</v>
      </c>
      <c r="B40" s="4">
        <f t="shared" si="1"/>
        <v>95</v>
      </c>
      <c r="C40" s="16">
        <f t="shared" ca="1" si="0"/>
        <v>283.76598217248187</v>
      </c>
      <c r="D40" s="4">
        <f t="shared" si="2"/>
        <v>385</v>
      </c>
      <c r="E40" s="16">
        <f t="shared" ca="1" si="3"/>
        <v>387.45126218534801</v>
      </c>
      <c r="H40" s="16">
        <f t="shared" ca="1" si="4"/>
        <v>-103.68528001286614</v>
      </c>
      <c r="I40" s="16">
        <f t="shared" ca="1" si="5"/>
        <v>387.45126218534807</v>
      </c>
      <c r="P40" s="11" t="s">
        <v>151</v>
      </c>
    </row>
    <row r="41" spans="1:18" x14ac:dyDescent="0.2">
      <c r="A41" s="4">
        <v>19</v>
      </c>
      <c r="B41" s="4">
        <f t="shared" si="1"/>
        <v>100</v>
      </c>
      <c r="C41" s="16">
        <f t="shared" ca="1" si="0"/>
        <v>602.82209872923488</v>
      </c>
      <c r="D41" s="4">
        <f t="shared" si="2"/>
        <v>400</v>
      </c>
      <c r="E41" s="16">
        <f t="shared" ca="1" si="3"/>
        <v>402.3624360622552</v>
      </c>
      <c r="H41" s="16">
        <f t="shared" ca="1" si="4"/>
        <v>200.45966266697968</v>
      </c>
      <c r="I41" s="16">
        <f t="shared" ca="1" si="5"/>
        <v>402.36243606225526</v>
      </c>
      <c r="Q41" s="97">
        <v>1</v>
      </c>
      <c r="R41" s="97">
        <v>2</v>
      </c>
    </row>
    <row r="42" spans="1:18" x14ac:dyDescent="0.2">
      <c r="A42" s="4">
        <v>20</v>
      </c>
      <c r="B42" s="4">
        <f t="shared" si="1"/>
        <v>105</v>
      </c>
      <c r="C42" s="16">
        <f t="shared" ca="1" si="0"/>
        <v>291.03991466733356</v>
      </c>
      <c r="D42" s="4">
        <f t="shared" si="2"/>
        <v>415</v>
      </c>
      <c r="E42" s="16">
        <f t="shared" ca="1" si="3"/>
        <v>417.27360993916238</v>
      </c>
      <c r="H42" s="16">
        <f t="shared" ca="1" si="4"/>
        <v>-126.23369527182882</v>
      </c>
      <c r="I42" s="16">
        <f t="shared" ca="1" si="5"/>
        <v>417.27360993916244</v>
      </c>
      <c r="P42" s="97">
        <v>1</v>
      </c>
      <c r="Q42" s="4">
        <f t="array" aca="1" ref="Q42:R46" ca="1">LINEST($C$23:$C$83,$B$23:$B$83,,TRUE)</f>
        <v>2.9822347753814369</v>
      </c>
      <c r="R42" s="37">
        <f ca="1"/>
        <v>104.13895852411156</v>
      </c>
    </row>
    <row r="43" spans="1:18" x14ac:dyDescent="0.2">
      <c r="A43" s="4">
        <v>21</v>
      </c>
      <c r="B43" s="4">
        <f t="shared" si="1"/>
        <v>110</v>
      </c>
      <c r="C43" s="16">
        <f t="shared" ca="1" si="0"/>
        <v>281.16893742305444</v>
      </c>
      <c r="D43" s="4">
        <f t="shared" si="2"/>
        <v>430</v>
      </c>
      <c r="E43" s="16">
        <f t="shared" ca="1" si="3"/>
        <v>432.18478381606963</v>
      </c>
      <c r="H43" s="16">
        <f t="shared" ca="1" si="4"/>
        <v>-151.01584639301518</v>
      </c>
      <c r="I43" s="16">
        <f t="shared" ca="1" si="5"/>
        <v>432.18478381606963</v>
      </c>
      <c r="P43" s="97">
        <v>2</v>
      </c>
      <c r="Q43" s="4">
        <f ca="1"/>
        <v>0.1891120519030306</v>
      </c>
      <c r="R43" s="37">
        <f ca="1"/>
        <v>34.535609573821063</v>
      </c>
    </row>
    <row r="44" spans="1:18" x14ac:dyDescent="0.2">
      <c r="A44" s="4">
        <v>22</v>
      </c>
      <c r="B44" s="4">
        <f t="shared" si="1"/>
        <v>115</v>
      </c>
      <c r="C44" s="16">
        <f t="shared" ca="1" si="0"/>
        <v>352.14079198089843</v>
      </c>
      <c r="D44" s="4">
        <f t="shared" si="2"/>
        <v>445</v>
      </c>
      <c r="E44" s="16">
        <f t="shared" ca="1" si="3"/>
        <v>447.09595769297681</v>
      </c>
      <c r="H44" s="16">
        <f t="shared" ca="1" si="4"/>
        <v>-94.955165712078383</v>
      </c>
      <c r="I44" s="16">
        <f t="shared" ca="1" si="5"/>
        <v>447.09595769297681</v>
      </c>
      <c r="P44" s="97">
        <v>3</v>
      </c>
      <c r="Q44" s="4">
        <f ca="1"/>
        <v>0.80824389560398036</v>
      </c>
      <c r="R44" s="37">
        <f ca="1"/>
        <v>130.02742904756371</v>
      </c>
    </row>
    <row r="45" spans="1:18" x14ac:dyDescent="0.2">
      <c r="A45" s="4">
        <v>23</v>
      </c>
      <c r="B45" s="4">
        <f t="shared" si="1"/>
        <v>120</v>
      </c>
      <c r="C45" s="16">
        <f t="shared" ca="1" si="0"/>
        <v>422.03767174040337</v>
      </c>
      <c r="D45" s="4">
        <f t="shared" si="2"/>
        <v>460</v>
      </c>
      <c r="E45" s="16">
        <f t="shared" ca="1" si="3"/>
        <v>462.007131569884</v>
      </c>
      <c r="H45" s="16">
        <f t="shared" ca="1" si="4"/>
        <v>-39.969459829480627</v>
      </c>
      <c r="I45" s="16">
        <f t="shared" ca="1" si="5"/>
        <v>462.007131569884</v>
      </c>
      <c r="P45" s="97">
        <v>4</v>
      </c>
      <c r="Q45" s="4">
        <f ca="1"/>
        <v>248.68251256372895</v>
      </c>
      <c r="R45" s="4">
        <f ca="1"/>
        <v>59</v>
      </c>
    </row>
    <row r="46" spans="1:18" x14ac:dyDescent="0.2">
      <c r="A46" s="4">
        <v>24</v>
      </c>
      <c r="B46" s="4">
        <f t="shared" si="1"/>
        <v>125</v>
      </c>
      <c r="C46" s="16">
        <f t="shared" ca="1" si="0"/>
        <v>266.48600516068632</v>
      </c>
      <c r="D46" s="4">
        <f t="shared" si="2"/>
        <v>475</v>
      </c>
      <c r="E46" s="16">
        <f t="shared" ca="1" si="3"/>
        <v>476.91830544679118</v>
      </c>
      <c r="H46" s="16">
        <f t="shared" ca="1" si="4"/>
        <v>-210.43230028610486</v>
      </c>
      <c r="I46" s="16">
        <f t="shared" ca="1" si="5"/>
        <v>476.91830544679118</v>
      </c>
      <c r="P46" s="97">
        <v>5</v>
      </c>
      <c r="Q46" s="4">
        <f ca="1"/>
        <v>4204508.1417849641</v>
      </c>
      <c r="R46" s="4">
        <f ca="1"/>
        <v>997520.80597843381</v>
      </c>
    </row>
    <row r="47" spans="1:18" x14ac:dyDescent="0.2">
      <c r="A47" s="4">
        <v>25</v>
      </c>
      <c r="B47" s="4">
        <f t="shared" si="1"/>
        <v>130</v>
      </c>
      <c r="C47" s="16">
        <f t="shared" ca="1" si="0"/>
        <v>548.90950918538545</v>
      </c>
      <c r="D47" s="4">
        <f t="shared" si="2"/>
        <v>490</v>
      </c>
      <c r="E47" s="16">
        <f t="shared" ca="1" si="3"/>
        <v>491.82947932369837</v>
      </c>
      <c r="H47" s="16">
        <f t="shared" ca="1" si="4"/>
        <v>57.08002986168708</v>
      </c>
      <c r="I47" s="16">
        <f t="shared" ca="1" si="5"/>
        <v>491.82947932369837</v>
      </c>
    </row>
    <row r="48" spans="1:18" x14ac:dyDescent="0.2">
      <c r="A48" s="4">
        <v>26</v>
      </c>
      <c r="B48" s="4">
        <f t="shared" si="1"/>
        <v>135</v>
      </c>
      <c r="C48" s="16">
        <f t="shared" ca="1" si="0"/>
        <v>558.87248347608931</v>
      </c>
      <c r="D48" s="4">
        <f t="shared" si="2"/>
        <v>505</v>
      </c>
      <c r="E48" s="16">
        <f t="shared" ca="1" si="3"/>
        <v>506.74065320060555</v>
      </c>
      <c r="H48" s="16">
        <f t="shared" ca="1" si="4"/>
        <v>52.131830275483765</v>
      </c>
      <c r="I48" s="16">
        <f t="shared" ca="1" si="5"/>
        <v>506.74065320060555</v>
      </c>
      <c r="K48" s="35" t="s">
        <v>81</v>
      </c>
      <c r="L48" s="35"/>
      <c r="M48" s="35"/>
      <c r="N48" s="35"/>
      <c r="O48" s="35"/>
      <c r="P48" s="35"/>
      <c r="Q48" s="35"/>
    </row>
    <row r="49" spans="1:24" ht="51" x14ac:dyDescent="0.2">
      <c r="A49" s="4">
        <v>27</v>
      </c>
      <c r="B49" s="4">
        <f t="shared" si="1"/>
        <v>140</v>
      </c>
      <c r="C49" s="16">
        <f t="shared" ca="1" si="0"/>
        <v>339.9731507992521</v>
      </c>
      <c r="D49" s="4">
        <f t="shared" si="2"/>
        <v>520</v>
      </c>
      <c r="E49" s="16">
        <f t="shared" ca="1" si="3"/>
        <v>521.65182707751273</v>
      </c>
      <c r="H49" s="16">
        <f t="shared" ca="1" si="4"/>
        <v>-181.67867627826064</v>
      </c>
      <c r="I49" s="16">
        <f t="shared" ca="1" si="5"/>
        <v>521.65182707751273</v>
      </c>
      <c r="K49" s="48" t="s">
        <v>77</v>
      </c>
      <c r="L49" s="49"/>
      <c r="M49" s="48" t="s">
        <v>148</v>
      </c>
      <c r="N49" s="49"/>
      <c r="O49" s="48" t="s">
        <v>80</v>
      </c>
      <c r="P49" s="49"/>
      <c r="Q49" s="50"/>
    </row>
    <row r="50" spans="1:24" x14ac:dyDescent="0.2">
      <c r="A50" s="4">
        <v>28</v>
      </c>
      <c r="B50" s="4">
        <f t="shared" si="1"/>
        <v>145</v>
      </c>
      <c r="C50" s="16">
        <f t="shared" ca="1" si="0"/>
        <v>596.59088413494931</v>
      </c>
      <c r="D50" s="4">
        <f t="shared" si="2"/>
        <v>535</v>
      </c>
      <c r="E50" s="16">
        <f t="shared" ca="1" si="3"/>
        <v>536.56300095441998</v>
      </c>
      <c r="H50" s="16">
        <f t="shared" ca="1" si="4"/>
        <v>60.027883180529329</v>
      </c>
      <c r="I50" s="16">
        <f t="shared" ca="1" si="5"/>
        <v>536.56300095441998</v>
      </c>
      <c r="K50" s="94" t="s">
        <v>54</v>
      </c>
      <c r="L50" s="51">
        <v>0.05</v>
      </c>
      <c r="M50" s="46"/>
      <c r="N50" s="52"/>
      <c r="O50" s="46"/>
      <c r="P50" s="52"/>
      <c r="Q50" s="47"/>
    </row>
    <row r="51" spans="1:24" x14ac:dyDescent="0.2">
      <c r="A51" s="4">
        <v>29</v>
      </c>
      <c r="B51" s="4">
        <f t="shared" si="1"/>
        <v>150</v>
      </c>
      <c r="C51" s="16">
        <f t="shared" ca="1" si="0"/>
        <v>513.4879363511136</v>
      </c>
      <c r="D51" s="4">
        <f t="shared" si="2"/>
        <v>550</v>
      </c>
      <c r="E51" s="16">
        <f t="shared" ca="1" si="3"/>
        <v>551.4741748313271</v>
      </c>
      <c r="H51" s="16">
        <f t="shared" ca="1" si="4"/>
        <v>-37.986238480213501</v>
      </c>
      <c r="I51" s="16">
        <f t="shared" ca="1" si="5"/>
        <v>551.4741748313271</v>
      </c>
      <c r="K51" s="94" t="s">
        <v>55</v>
      </c>
      <c r="L51" s="53">
        <f ca="1">Q27</f>
        <v>0.1891120519030306</v>
      </c>
      <c r="M51" s="46"/>
      <c r="N51" s="52"/>
      <c r="O51" s="46"/>
      <c r="P51" s="52"/>
      <c r="Q51" s="47"/>
    </row>
    <row r="52" spans="1:24" x14ac:dyDescent="0.2">
      <c r="A52" s="4">
        <v>30</v>
      </c>
      <c r="B52" s="4">
        <f t="shared" si="1"/>
        <v>155</v>
      </c>
      <c r="C52" s="16">
        <f t="shared" ca="1" si="0"/>
        <v>554.79239448578187</v>
      </c>
      <c r="D52" s="4">
        <f t="shared" si="2"/>
        <v>565</v>
      </c>
      <c r="E52" s="16">
        <f t="shared" ca="1" si="3"/>
        <v>566.38534870823423</v>
      </c>
      <c r="H52" s="16">
        <f t="shared" ca="1" si="4"/>
        <v>-11.592954222452363</v>
      </c>
      <c r="I52" s="16">
        <f t="shared" ca="1" si="5"/>
        <v>566.38534870823423</v>
      </c>
      <c r="K52" s="94" t="s">
        <v>28</v>
      </c>
      <c r="L52" s="53">
        <f ca="1">Q26</f>
        <v>2.9822347753814369</v>
      </c>
      <c r="M52" s="94" t="str">
        <f>A19</f>
        <v>Корреляция</v>
      </c>
      <c r="N52" s="53">
        <f ca="1">B19</f>
        <v>0.89902385708276966</v>
      </c>
      <c r="O52" s="94" t="s">
        <v>78</v>
      </c>
      <c r="P52" s="52"/>
      <c r="Q52" s="47">
        <f ca="1">Q29</f>
        <v>248.68251256372895</v>
      </c>
    </row>
    <row r="53" spans="1:24" x14ac:dyDescent="0.2">
      <c r="A53" s="4">
        <v>31</v>
      </c>
      <c r="B53" s="4">
        <f t="shared" si="1"/>
        <v>160</v>
      </c>
      <c r="C53" s="16">
        <f t="shared" ca="1" si="0"/>
        <v>700.57148061705107</v>
      </c>
      <c r="D53" s="4">
        <f t="shared" si="2"/>
        <v>580</v>
      </c>
      <c r="E53" s="16">
        <f t="shared" ca="1" si="3"/>
        <v>581.29652258514147</v>
      </c>
      <c r="H53" s="16">
        <f t="shared" ca="1" si="4"/>
        <v>119.27495803190959</v>
      </c>
      <c r="I53" s="16">
        <f t="shared" ca="1" si="5"/>
        <v>581.29652258514147</v>
      </c>
      <c r="K53" s="94" t="s">
        <v>53</v>
      </c>
      <c r="L53" s="52">
        <f ca="1">R29</f>
        <v>59</v>
      </c>
      <c r="M53" s="94"/>
      <c r="N53" s="52"/>
      <c r="O53" s="94"/>
      <c r="P53" s="52"/>
      <c r="Q53" s="47"/>
    </row>
    <row r="54" spans="1:24" x14ac:dyDescent="0.2">
      <c r="A54" s="4">
        <v>32</v>
      </c>
      <c r="B54" s="4">
        <f t="shared" si="1"/>
        <v>165</v>
      </c>
      <c r="C54" s="16">
        <f t="shared" ca="1" si="0"/>
        <v>455.76783337792227</v>
      </c>
      <c r="D54" s="4">
        <f t="shared" si="2"/>
        <v>595</v>
      </c>
      <c r="E54" s="16">
        <f t="shared" ca="1" si="3"/>
        <v>596.20769646204872</v>
      </c>
      <c r="H54" s="16">
        <f t="shared" ca="1" si="4"/>
        <v>-140.43986308412644</v>
      </c>
      <c r="I54" s="16">
        <f t="shared" ca="1" si="5"/>
        <v>596.20769646204872</v>
      </c>
      <c r="K54" s="94" t="s">
        <v>56</v>
      </c>
      <c r="L54" s="54">
        <f ca="1">L52/L51</f>
        <v>15.769670654890955</v>
      </c>
      <c r="M54" s="94" t="s">
        <v>59</v>
      </c>
      <c r="N54" s="52">
        <f ca="1">ABS(N52*SQRT(L53)/SQRT(1-N52*N52))</f>
        <v>15.769670654890943</v>
      </c>
      <c r="O54" s="94" t="s">
        <v>111</v>
      </c>
      <c r="P54" s="52"/>
      <c r="Q54" s="47">
        <f ca="1">_xlfn.F.DIST.RT(Q52,1,L25-2)</f>
        <v>7.9493285003217734E-23</v>
      </c>
      <c r="R54" s="11" t="s">
        <v>147</v>
      </c>
    </row>
    <row r="55" spans="1:24" x14ac:dyDescent="0.2">
      <c r="A55" s="4">
        <v>33</v>
      </c>
      <c r="B55" s="4">
        <f t="shared" ref="B55:B83" si="7">$B$11+(A55-1)*$B$12</f>
        <v>170</v>
      </c>
      <c r="C55" s="16">
        <f t="shared" ref="C55:C83" ca="1" si="8">IF(AND($B$15&gt;0,AVERAGE($D$23:$D$83)),_xlfn.NORM.INV(RAND(),D55,$B$15*ABS(AVERAGE($D$23:$D$83))),D55)</f>
        <v>384.52223829680088</v>
      </c>
      <c r="D55" s="4">
        <f t="shared" si="2"/>
        <v>610</v>
      </c>
      <c r="E55" s="16">
        <f t="shared" ca="1" si="3"/>
        <v>611.11887033895584</v>
      </c>
      <c r="H55" s="16">
        <f t="shared" ca="1" si="4"/>
        <v>-226.59663204215497</v>
      </c>
      <c r="I55" s="16">
        <f t="shared" ca="1" si="5"/>
        <v>611.11887033895584</v>
      </c>
      <c r="K55" s="94" t="s">
        <v>57</v>
      </c>
      <c r="L55" s="55">
        <f ca="1">_xlfn.T.INV.2T(L50,L53)</f>
        <v>2.0009953780882688</v>
      </c>
      <c r="M55" s="46"/>
      <c r="N55" s="52"/>
      <c r="O55" s="94" t="s">
        <v>79</v>
      </c>
      <c r="P55" s="52"/>
      <c r="Q55" s="47">
        <f ca="1">_xlfn.F.INV.RT(L50,1,L53)</f>
        <v>4.0039825031306115</v>
      </c>
      <c r="R55" s="4">
        <f ca="1">_xlfn.F.INV(1-L50,1,L53)</f>
        <v>4.0039825031306115</v>
      </c>
    </row>
    <row r="56" spans="1:24" x14ac:dyDescent="0.2">
      <c r="A56" s="4">
        <v>34</v>
      </c>
      <c r="B56" s="4">
        <f t="shared" si="7"/>
        <v>175</v>
      </c>
      <c r="C56" s="16">
        <f t="shared" ca="1" si="8"/>
        <v>709.78086270173287</v>
      </c>
      <c r="D56" s="4">
        <f t="shared" si="2"/>
        <v>625</v>
      </c>
      <c r="E56" s="16">
        <f t="shared" ca="1" si="3"/>
        <v>626.03004421586309</v>
      </c>
      <c r="H56" s="16">
        <f t="shared" ca="1" si="4"/>
        <v>83.750818485869786</v>
      </c>
      <c r="I56" s="16">
        <f t="shared" ca="1" si="5"/>
        <v>626.03004421586297</v>
      </c>
      <c r="K56" s="95" t="s">
        <v>58</v>
      </c>
      <c r="L56" s="56" t="b">
        <f ca="1">ABS(L54)&gt;L55</f>
        <v>1</v>
      </c>
      <c r="M56" s="58" t="b">
        <f ca="1">N54&gt;L55</f>
        <v>1</v>
      </c>
      <c r="N56" s="57"/>
      <c r="O56" s="58" t="b">
        <f ca="1">Q52&gt;Q55</f>
        <v>1</v>
      </c>
      <c r="P56" s="57"/>
      <c r="Q56" s="93" t="b">
        <f ca="1">Q54&lt;L50</f>
        <v>1</v>
      </c>
      <c r="R56" s="11" t="s">
        <v>83</v>
      </c>
    </row>
    <row r="57" spans="1:24" x14ac:dyDescent="0.2">
      <c r="A57" s="4">
        <v>35</v>
      </c>
      <c r="B57" s="4">
        <f t="shared" si="7"/>
        <v>180</v>
      </c>
      <c r="C57" s="16">
        <f t="shared" ca="1" si="8"/>
        <v>645.06089653585798</v>
      </c>
      <c r="D57" s="4">
        <f t="shared" si="2"/>
        <v>640</v>
      </c>
      <c r="E57" s="16">
        <f t="shared" ca="1" si="3"/>
        <v>640.94121809277021</v>
      </c>
      <c r="H57" s="16">
        <f t="shared" ca="1" si="4"/>
        <v>4.1196784430877642</v>
      </c>
      <c r="I57" s="16">
        <f t="shared" ca="1" si="5"/>
        <v>640.94121809277021</v>
      </c>
    </row>
    <row r="58" spans="1:24" x14ac:dyDescent="0.2">
      <c r="A58" s="4">
        <v>36</v>
      </c>
      <c r="B58" s="4">
        <f t="shared" si="7"/>
        <v>185</v>
      </c>
      <c r="C58" s="16">
        <f t="shared" ca="1" si="8"/>
        <v>788.99356300623583</v>
      </c>
      <c r="D58" s="4">
        <f t="shared" si="2"/>
        <v>655</v>
      </c>
      <c r="E58" s="16">
        <f t="shared" ca="1" si="3"/>
        <v>655.85239196967746</v>
      </c>
      <c r="H58" s="16">
        <f t="shared" ca="1" si="4"/>
        <v>133.14117103655838</v>
      </c>
      <c r="I58" s="16">
        <f t="shared" ca="1" si="5"/>
        <v>655.85239196967734</v>
      </c>
      <c r="K58" s="35" t="s">
        <v>60</v>
      </c>
      <c r="L58" s="42"/>
      <c r="M58" s="42"/>
      <c r="N58" s="42"/>
      <c r="O58" s="42"/>
      <c r="P58" s="42"/>
      <c r="Q58" s="42"/>
      <c r="S58" s="35" t="s">
        <v>168</v>
      </c>
      <c r="T58" s="42"/>
      <c r="U58" s="42"/>
      <c r="V58" s="42"/>
      <c r="W58" s="42"/>
      <c r="X58" s="42"/>
    </row>
    <row r="59" spans="1:24" x14ac:dyDescent="0.2">
      <c r="A59" s="4">
        <v>37</v>
      </c>
      <c r="B59" s="4">
        <f t="shared" si="7"/>
        <v>190</v>
      </c>
      <c r="C59" s="16">
        <f t="shared" ca="1" si="8"/>
        <v>834.13986449241963</v>
      </c>
      <c r="D59" s="4">
        <f t="shared" si="2"/>
        <v>670</v>
      </c>
      <c r="E59" s="16">
        <f t="shared" ca="1" si="3"/>
        <v>670.76356584658458</v>
      </c>
      <c r="H59" s="16">
        <f t="shared" ca="1" si="4"/>
        <v>163.37629864583505</v>
      </c>
      <c r="I59" s="16">
        <f t="shared" ca="1" si="5"/>
        <v>670.76356584658458</v>
      </c>
      <c r="K59" s="19"/>
      <c r="L59" s="8" t="s">
        <v>42</v>
      </c>
      <c r="M59" s="8" t="s">
        <v>40</v>
      </c>
      <c r="N59" s="8" t="s">
        <v>41</v>
      </c>
      <c r="O59" s="23"/>
    </row>
    <row r="60" spans="1:24" x14ac:dyDescent="0.2">
      <c r="A60" s="4">
        <v>38</v>
      </c>
      <c r="B60" s="4">
        <f t="shared" si="7"/>
        <v>195</v>
      </c>
      <c r="C60" s="16">
        <f t="shared" ca="1" si="8"/>
        <v>668.44035408557806</v>
      </c>
      <c r="D60" s="4">
        <f t="shared" si="2"/>
        <v>685</v>
      </c>
      <c r="E60" s="16">
        <f t="shared" ca="1" si="3"/>
        <v>685.67473972349183</v>
      </c>
      <c r="H60" s="16">
        <f t="shared" ca="1" si="4"/>
        <v>-17.234385637913761</v>
      </c>
      <c r="I60" s="16">
        <f t="shared" ca="1" si="5"/>
        <v>685.67473972349171</v>
      </c>
      <c r="K60" s="36">
        <v>1</v>
      </c>
      <c r="L60" s="9">
        <f>P7</f>
        <v>10</v>
      </c>
      <c r="M60" s="9">
        <f ca="1">R7+2*$L$31</f>
        <v>394.0161643730533</v>
      </c>
      <c r="N60" s="9">
        <f ca="1">R7-2*$L$31</f>
        <v>-126.09355181720167</v>
      </c>
      <c r="O60" s="23"/>
      <c r="T60" s="23"/>
      <c r="W60" s="9" t="s">
        <v>173</v>
      </c>
      <c r="X60" s="9"/>
    </row>
    <row r="61" spans="1:24" x14ac:dyDescent="0.2">
      <c r="A61" s="4">
        <v>39</v>
      </c>
      <c r="B61" s="4">
        <f t="shared" si="7"/>
        <v>200</v>
      </c>
      <c r="C61" s="16">
        <f t="shared" ca="1" si="8"/>
        <v>584.27355527254156</v>
      </c>
      <c r="D61" s="4">
        <f t="shared" si="2"/>
        <v>700</v>
      </c>
      <c r="E61" s="16">
        <f t="shared" ca="1" si="3"/>
        <v>700.58591360039895</v>
      </c>
      <c r="H61" s="16">
        <f t="shared" ca="1" si="4"/>
        <v>-116.3123583278574</v>
      </c>
      <c r="I61" s="16">
        <f t="shared" ca="1" si="5"/>
        <v>700.58591360039895</v>
      </c>
      <c r="K61" s="36">
        <v>2</v>
      </c>
      <c r="L61" s="9">
        <f>P8</f>
        <v>310</v>
      </c>
      <c r="M61" s="9">
        <f ca="1">R8+2*$L$31</f>
        <v>1288.6865969874846</v>
      </c>
      <c r="N61" s="9">
        <f ca="1">R8-2*$L$31</f>
        <v>768.57688079722971</v>
      </c>
      <c r="O61" s="23"/>
      <c r="T61" s="23"/>
      <c r="U61" s="8" t="s">
        <v>172</v>
      </c>
      <c r="V61" s="8" t="s">
        <v>169</v>
      </c>
      <c r="W61" s="8" t="s">
        <v>174</v>
      </c>
      <c r="X61" s="8" t="s">
        <v>175</v>
      </c>
    </row>
    <row r="62" spans="1:24" x14ac:dyDescent="0.2">
      <c r="A62" s="4">
        <v>40</v>
      </c>
      <c r="B62" s="4">
        <f t="shared" si="7"/>
        <v>205</v>
      </c>
      <c r="C62" s="16">
        <f t="shared" ca="1" si="8"/>
        <v>848.51080810791882</v>
      </c>
      <c r="D62" s="4">
        <f t="shared" si="2"/>
        <v>715</v>
      </c>
      <c r="E62" s="16">
        <f t="shared" ca="1" si="3"/>
        <v>715.4970874773062</v>
      </c>
      <c r="H62" s="16">
        <f t="shared" ca="1" si="4"/>
        <v>133.01372063061262</v>
      </c>
      <c r="I62" s="16">
        <f t="shared" ca="1" si="5"/>
        <v>715.49708747730608</v>
      </c>
      <c r="K62" s="23"/>
      <c r="L62" s="23"/>
      <c r="M62" s="23"/>
      <c r="N62" s="23"/>
      <c r="O62" s="23"/>
      <c r="P62" s="23"/>
      <c r="Q62" s="23"/>
      <c r="R62" s="23"/>
      <c r="T62" s="9" t="s">
        <v>170</v>
      </c>
      <c r="U62" s="20">
        <f ca="1">INDEX(LINEST($C$23:$C$83,$B$23:$B$83,,TRUE),1,1)</f>
        <v>2.9822347753814369</v>
      </c>
      <c r="V62" s="9">
        <f ca="1">INDEX(LINEST($C$23:$C$83,$B$23:$B$83,,TRUE),2,1)</f>
        <v>0.1891120519030306</v>
      </c>
      <c r="W62" s="9">
        <f ca="1">$U62-$U$65*$V62</f>
        <v>2.6038224335826841</v>
      </c>
      <c r="X62" s="9">
        <f ca="1">$U62+$U$65*$V62</f>
        <v>3.3606471171801897</v>
      </c>
    </row>
    <row r="63" spans="1:24" x14ac:dyDescent="0.2">
      <c r="A63" s="4">
        <v>41</v>
      </c>
      <c r="B63" s="4">
        <f t="shared" si="7"/>
        <v>210</v>
      </c>
      <c r="C63" s="16">
        <f t="shared" ca="1" si="8"/>
        <v>580.45948012044073</v>
      </c>
      <c r="D63" s="4">
        <f t="shared" si="2"/>
        <v>730</v>
      </c>
      <c r="E63" s="16">
        <f t="shared" ca="1" si="3"/>
        <v>730.40826135421332</v>
      </c>
      <c r="H63" s="16">
        <f t="shared" ca="1" si="4"/>
        <v>-149.94878123377259</v>
      </c>
      <c r="I63" s="16">
        <f t="shared" ca="1" si="5"/>
        <v>730.40826135421332</v>
      </c>
      <c r="K63" s="23"/>
      <c r="L63" s="23"/>
      <c r="M63" s="23"/>
      <c r="N63" s="23"/>
      <c r="O63" s="23"/>
      <c r="P63" s="23"/>
      <c r="Q63" s="23"/>
      <c r="R63" s="23"/>
      <c r="S63" s="23"/>
      <c r="T63" s="9" t="s">
        <v>171</v>
      </c>
      <c r="U63" s="20">
        <f ca="1">INDEX(LINEST($C$23:$C$83,$B$23:$B$83,,TRUE),1,2)</f>
        <v>104.13895852411156</v>
      </c>
      <c r="V63" s="9">
        <f ca="1">INDEX(LINEST($C$23:$C$83,$B$23:$B$83,,TRUE),2,2)</f>
        <v>34.535609573821063</v>
      </c>
      <c r="W63" s="9">
        <f ca="1">$U63-$U$65*$V63</f>
        <v>35.033363387434648</v>
      </c>
      <c r="X63" s="9">
        <f ca="1">$U63+$U$65*$V63</f>
        <v>173.24455366078848</v>
      </c>
    </row>
    <row r="64" spans="1:24" x14ac:dyDescent="0.2">
      <c r="A64" s="4">
        <v>42</v>
      </c>
      <c r="B64" s="4">
        <f t="shared" si="7"/>
        <v>215</v>
      </c>
      <c r="C64" s="16">
        <f t="shared" ca="1" si="8"/>
        <v>756.59519960871262</v>
      </c>
      <c r="D64" s="4">
        <f t="shared" si="2"/>
        <v>745</v>
      </c>
      <c r="E64" s="16">
        <f t="shared" ca="1" si="3"/>
        <v>745.31943523112056</v>
      </c>
      <c r="H64" s="16">
        <f t="shared" ca="1" si="4"/>
        <v>11.275764377592054</v>
      </c>
      <c r="I64" s="16">
        <f t="shared" ca="1" si="5"/>
        <v>745.31943523112045</v>
      </c>
      <c r="K64" s="23"/>
      <c r="L64" s="23"/>
      <c r="M64" s="23"/>
      <c r="N64" s="23"/>
      <c r="O64" s="23"/>
      <c r="P64" s="23"/>
      <c r="Q64" s="23"/>
      <c r="R64" s="23"/>
      <c r="S64" s="23"/>
      <c r="T64" s="23"/>
    </row>
    <row r="65" spans="1:21" x14ac:dyDescent="0.2">
      <c r="A65" s="4">
        <v>43</v>
      </c>
      <c r="B65" s="4">
        <f t="shared" si="7"/>
        <v>220</v>
      </c>
      <c r="C65" s="16">
        <f t="shared" ca="1" si="8"/>
        <v>894.39362383638024</v>
      </c>
      <c r="D65" s="4">
        <f t="shared" si="2"/>
        <v>760</v>
      </c>
      <c r="E65" s="16">
        <f t="shared" ca="1" si="3"/>
        <v>760.23060910802781</v>
      </c>
      <c r="H65" s="16">
        <f t="shared" ca="1" si="4"/>
        <v>134.16301472835244</v>
      </c>
      <c r="I65" s="16">
        <f t="shared" ca="1" si="5"/>
        <v>760.23060910802769</v>
      </c>
      <c r="K65" s="23"/>
      <c r="L65" s="23"/>
      <c r="M65" s="23"/>
      <c r="N65" s="23"/>
      <c r="O65" s="23"/>
      <c r="P65" s="23"/>
      <c r="Q65" s="23"/>
      <c r="R65" s="23"/>
      <c r="S65" s="23"/>
      <c r="T65" s="108" t="s">
        <v>57</v>
      </c>
      <c r="U65" s="9">
        <f ca="1">_xlfn.T.INV.2T(L50,L53)</f>
        <v>2.0009953780882688</v>
      </c>
    </row>
    <row r="66" spans="1:21" x14ac:dyDescent="0.2">
      <c r="A66" s="4">
        <v>44</v>
      </c>
      <c r="B66" s="4">
        <f t="shared" si="7"/>
        <v>225</v>
      </c>
      <c r="C66" s="16">
        <f t="shared" ca="1" si="8"/>
        <v>838.03161073585773</v>
      </c>
      <c r="D66" s="4">
        <f t="shared" si="2"/>
        <v>775</v>
      </c>
      <c r="E66" s="16">
        <f t="shared" ca="1" si="3"/>
        <v>775.14178298493493</v>
      </c>
      <c r="H66" s="16">
        <f t="shared" ca="1" si="4"/>
        <v>62.889827750922791</v>
      </c>
      <c r="I66" s="16">
        <f t="shared" ca="1" si="5"/>
        <v>775.14178298493482</v>
      </c>
      <c r="K66" s="23"/>
      <c r="L66" s="23"/>
      <c r="M66" s="23"/>
      <c r="N66" s="23"/>
      <c r="O66" s="23"/>
      <c r="P66" s="23"/>
      <c r="Q66" s="23"/>
      <c r="R66" s="23"/>
      <c r="S66" s="23"/>
      <c r="T66" s="23"/>
    </row>
    <row r="67" spans="1:21" x14ac:dyDescent="0.2">
      <c r="A67" s="4">
        <v>45</v>
      </c>
      <c r="B67" s="4">
        <f t="shared" si="7"/>
        <v>230</v>
      </c>
      <c r="C67" s="16">
        <f t="shared" ca="1" si="8"/>
        <v>648.69205528562088</v>
      </c>
      <c r="D67" s="4">
        <f t="shared" si="2"/>
        <v>790</v>
      </c>
      <c r="E67" s="16">
        <f t="shared" ca="1" si="3"/>
        <v>790.05295686184218</v>
      </c>
      <c r="H67" s="16">
        <f t="shared" ca="1" si="4"/>
        <v>-141.36090157622129</v>
      </c>
      <c r="I67" s="16">
        <f t="shared" ca="1" si="5"/>
        <v>790.05295686184206</v>
      </c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1:21" x14ac:dyDescent="0.2">
      <c r="A68" s="4">
        <v>46</v>
      </c>
      <c r="B68" s="4">
        <f t="shared" si="7"/>
        <v>235</v>
      </c>
      <c r="C68" s="16">
        <f t="shared" ca="1" si="8"/>
        <v>836.47727533980685</v>
      </c>
      <c r="D68" s="4">
        <f t="shared" si="2"/>
        <v>805</v>
      </c>
      <c r="E68" s="16">
        <f t="shared" ca="1" si="3"/>
        <v>804.9641307387493</v>
      </c>
      <c r="H68" s="16">
        <f t="shared" ca="1" si="4"/>
        <v>31.513144601057547</v>
      </c>
      <c r="I68" s="16">
        <f t="shared" ca="1" si="5"/>
        <v>804.96413073874919</v>
      </c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1:21" x14ac:dyDescent="0.2">
      <c r="A69" s="4">
        <v>47</v>
      </c>
      <c r="B69" s="4">
        <f t="shared" si="7"/>
        <v>240</v>
      </c>
      <c r="C69" s="16">
        <f t="shared" ca="1" si="8"/>
        <v>762.69879582195415</v>
      </c>
      <c r="D69" s="4">
        <f t="shared" si="2"/>
        <v>820</v>
      </c>
      <c r="E69" s="16">
        <f t="shared" ca="1" si="3"/>
        <v>819.87530461565655</v>
      </c>
      <c r="H69" s="16">
        <f t="shared" ca="1" si="4"/>
        <v>-57.176508793702396</v>
      </c>
      <c r="I69" s="16">
        <f t="shared" ca="1" si="5"/>
        <v>819.87530461565643</v>
      </c>
      <c r="K69" s="16"/>
    </row>
    <row r="70" spans="1:21" x14ac:dyDescent="0.2">
      <c r="A70" s="4">
        <v>48</v>
      </c>
      <c r="B70" s="4">
        <f t="shared" si="7"/>
        <v>245</v>
      </c>
      <c r="C70" s="16">
        <f t="shared" ca="1" si="8"/>
        <v>605.56832095296068</v>
      </c>
      <c r="D70" s="4">
        <f t="shared" si="2"/>
        <v>835</v>
      </c>
      <c r="E70" s="16">
        <f t="shared" ca="1" si="3"/>
        <v>834.78647849256367</v>
      </c>
      <c r="H70" s="16">
        <f t="shared" ca="1" si="4"/>
        <v>-229.218157539603</v>
      </c>
      <c r="I70" s="16">
        <f t="shared" ca="1" si="5"/>
        <v>834.78647849256356</v>
      </c>
      <c r="K70" s="23"/>
    </row>
    <row r="71" spans="1:21" x14ac:dyDescent="0.2">
      <c r="A71" s="4">
        <v>49</v>
      </c>
      <c r="B71" s="4">
        <f t="shared" si="7"/>
        <v>250</v>
      </c>
      <c r="C71" s="16">
        <f t="shared" ca="1" si="8"/>
        <v>840.11456726199037</v>
      </c>
      <c r="D71" s="4">
        <f t="shared" si="2"/>
        <v>850</v>
      </c>
      <c r="E71" s="16">
        <f t="shared" ca="1" si="3"/>
        <v>849.69765236947092</v>
      </c>
      <c r="H71" s="16">
        <f t="shared" ca="1" si="4"/>
        <v>-9.5830851074805423</v>
      </c>
      <c r="I71" s="16">
        <f t="shared" ca="1" si="5"/>
        <v>849.6976523694708</v>
      </c>
      <c r="K71" s="16"/>
    </row>
    <row r="72" spans="1:21" x14ac:dyDescent="0.2">
      <c r="A72" s="4">
        <v>50</v>
      </c>
      <c r="B72" s="4">
        <f t="shared" si="7"/>
        <v>255</v>
      </c>
      <c r="C72" s="16">
        <f t="shared" ca="1" si="8"/>
        <v>955.88889979718965</v>
      </c>
      <c r="D72" s="4">
        <f t="shared" si="2"/>
        <v>865</v>
      </c>
      <c r="E72" s="16">
        <f t="shared" ca="1" si="3"/>
        <v>864.60882624637804</v>
      </c>
      <c r="H72" s="16">
        <f t="shared" ca="1" si="4"/>
        <v>91.280073550811608</v>
      </c>
      <c r="I72" s="16">
        <f t="shared" ca="1" si="5"/>
        <v>864.60882624637793</v>
      </c>
      <c r="K72" s="16"/>
    </row>
    <row r="73" spans="1:21" x14ac:dyDescent="0.2">
      <c r="A73" s="4">
        <v>51</v>
      </c>
      <c r="B73" s="4">
        <f t="shared" si="7"/>
        <v>260</v>
      </c>
      <c r="C73" s="16">
        <f t="shared" ca="1" si="8"/>
        <v>1011.4160022703484</v>
      </c>
      <c r="D73" s="4">
        <f t="shared" si="2"/>
        <v>880</v>
      </c>
      <c r="E73" s="16">
        <f t="shared" ca="1" si="3"/>
        <v>879.52000012328529</v>
      </c>
      <c r="H73" s="16">
        <f t="shared" ca="1" si="4"/>
        <v>131.89600214706309</v>
      </c>
      <c r="I73" s="16">
        <f t="shared" ca="1" si="5"/>
        <v>879.52000012328517</v>
      </c>
      <c r="K73" s="16"/>
    </row>
    <row r="74" spans="1:21" x14ac:dyDescent="0.2">
      <c r="A74" s="4">
        <v>52</v>
      </c>
      <c r="B74" s="4">
        <f t="shared" si="7"/>
        <v>265</v>
      </c>
      <c r="C74" s="16">
        <f t="shared" ca="1" si="8"/>
        <v>934.50202402706577</v>
      </c>
      <c r="D74" s="4">
        <f t="shared" si="2"/>
        <v>895</v>
      </c>
      <c r="E74" s="16">
        <f t="shared" ca="1" si="3"/>
        <v>894.43117400019241</v>
      </c>
      <c r="H74" s="16">
        <f t="shared" ca="1" si="4"/>
        <v>40.070850026873359</v>
      </c>
      <c r="I74" s="16">
        <f t="shared" ca="1" si="5"/>
        <v>894.4311740001923</v>
      </c>
      <c r="K74" s="16"/>
    </row>
    <row r="75" spans="1:21" x14ac:dyDescent="0.2">
      <c r="A75" s="4">
        <v>53</v>
      </c>
      <c r="B75" s="4">
        <f t="shared" si="7"/>
        <v>270</v>
      </c>
      <c r="C75" s="16">
        <f t="shared" ca="1" si="8"/>
        <v>969.95138694187892</v>
      </c>
      <c r="D75" s="4">
        <f t="shared" si="2"/>
        <v>910</v>
      </c>
      <c r="E75" s="16">
        <f t="shared" ca="1" si="3"/>
        <v>909.34234787709966</v>
      </c>
      <c r="H75" s="16">
        <f t="shared" ca="1" si="4"/>
        <v>60.609039064779267</v>
      </c>
      <c r="I75" s="16">
        <f t="shared" ca="1" si="5"/>
        <v>909.34234787709954</v>
      </c>
      <c r="K75" s="16"/>
    </row>
    <row r="76" spans="1:21" x14ac:dyDescent="0.2">
      <c r="A76" s="4">
        <v>54</v>
      </c>
      <c r="B76" s="4">
        <f t="shared" si="7"/>
        <v>275</v>
      </c>
      <c r="C76" s="16">
        <f t="shared" ca="1" si="8"/>
        <v>1066.2509626897208</v>
      </c>
      <c r="D76" s="4">
        <f t="shared" si="2"/>
        <v>925</v>
      </c>
      <c r="E76" s="16">
        <f t="shared" ca="1" si="3"/>
        <v>924.25352175400678</v>
      </c>
      <c r="H76" s="16">
        <f t="shared" ca="1" si="4"/>
        <v>141.99744093571405</v>
      </c>
      <c r="I76" s="16">
        <f t="shared" ca="1" si="5"/>
        <v>924.25352175400667</v>
      </c>
      <c r="K76" s="16"/>
    </row>
    <row r="77" spans="1:21" x14ac:dyDescent="0.2">
      <c r="A77" s="4">
        <v>55</v>
      </c>
      <c r="B77" s="4">
        <f t="shared" si="7"/>
        <v>280</v>
      </c>
      <c r="C77" s="16">
        <f t="shared" ca="1" si="8"/>
        <v>889.90470469977527</v>
      </c>
      <c r="D77" s="4">
        <f t="shared" si="2"/>
        <v>940</v>
      </c>
      <c r="E77" s="16">
        <f t="shared" ca="1" si="3"/>
        <v>939.16469563091403</v>
      </c>
      <c r="H77" s="16">
        <f t="shared" ca="1" si="4"/>
        <v>-49.259990931138759</v>
      </c>
      <c r="I77" s="16">
        <f t="shared" ca="1" si="5"/>
        <v>939.16469563091391</v>
      </c>
      <c r="K77" s="16"/>
    </row>
    <row r="78" spans="1:21" x14ac:dyDescent="0.2">
      <c r="A78" s="4">
        <v>56</v>
      </c>
      <c r="B78" s="4">
        <f t="shared" si="7"/>
        <v>285</v>
      </c>
      <c r="C78" s="16">
        <f t="shared" ca="1" si="8"/>
        <v>1100.8815306674619</v>
      </c>
      <c r="D78" s="4">
        <f t="shared" si="2"/>
        <v>955</v>
      </c>
      <c r="E78" s="16">
        <f t="shared" ca="1" si="3"/>
        <v>954.07586950782127</v>
      </c>
      <c r="H78" s="16">
        <f t="shared" ca="1" si="4"/>
        <v>146.80566115964064</v>
      </c>
      <c r="I78" s="16">
        <f t="shared" ca="1" si="5"/>
        <v>954.07586950782104</v>
      </c>
      <c r="K78" s="16"/>
    </row>
    <row r="79" spans="1:21" x14ac:dyDescent="0.2">
      <c r="A79" s="4">
        <v>57</v>
      </c>
      <c r="B79" s="4">
        <f t="shared" si="7"/>
        <v>290</v>
      </c>
      <c r="C79" s="16">
        <f t="shared" ca="1" si="8"/>
        <v>833.08327843162147</v>
      </c>
      <c r="D79" s="4">
        <f t="shared" si="2"/>
        <v>970</v>
      </c>
      <c r="E79" s="16">
        <f t="shared" ca="1" si="3"/>
        <v>968.98704338472839</v>
      </c>
      <c r="H79" s="16">
        <f t="shared" ca="1" si="4"/>
        <v>-135.90376495310693</v>
      </c>
      <c r="I79" s="16">
        <f t="shared" ca="1" si="5"/>
        <v>968.98704338472828</v>
      </c>
      <c r="K79" s="16"/>
    </row>
    <row r="80" spans="1:21" x14ac:dyDescent="0.2">
      <c r="A80" s="4">
        <v>58</v>
      </c>
      <c r="B80" s="4">
        <f t="shared" si="7"/>
        <v>295</v>
      </c>
      <c r="C80" s="16">
        <f t="shared" ca="1" si="8"/>
        <v>1158.4955453083955</v>
      </c>
      <c r="D80" s="4">
        <f t="shared" si="2"/>
        <v>985</v>
      </c>
      <c r="E80" s="16">
        <f t="shared" ca="1" si="3"/>
        <v>983.89821726163564</v>
      </c>
      <c r="H80" s="16">
        <f t="shared" ca="1" si="4"/>
        <v>174.59732804675991</v>
      </c>
      <c r="I80" s="16">
        <f t="shared" ca="1" si="5"/>
        <v>983.89821726163541</v>
      </c>
    </row>
    <row r="81" spans="1:11" x14ac:dyDescent="0.2">
      <c r="A81" s="4">
        <v>59</v>
      </c>
      <c r="B81" s="4">
        <f t="shared" si="7"/>
        <v>300</v>
      </c>
      <c r="C81" s="16">
        <f t="shared" ca="1" si="8"/>
        <v>840.56547156471947</v>
      </c>
      <c r="D81" s="4">
        <f t="shared" si="2"/>
        <v>1000</v>
      </c>
      <c r="E81" s="16">
        <f t="shared" ca="1" si="3"/>
        <v>998.80939113854276</v>
      </c>
      <c r="H81" s="16">
        <f t="shared" ca="1" si="4"/>
        <v>-158.24391957382329</v>
      </c>
      <c r="I81" s="16">
        <f t="shared" ca="1" si="5"/>
        <v>998.80939113854265</v>
      </c>
      <c r="K81" s="16"/>
    </row>
    <row r="82" spans="1:11" x14ac:dyDescent="0.2">
      <c r="A82" s="4">
        <v>60</v>
      </c>
      <c r="B82" s="4">
        <f t="shared" si="7"/>
        <v>305</v>
      </c>
      <c r="C82" s="16">
        <f t="shared" ca="1" si="8"/>
        <v>725.07901592441374</v>
      </c>
      <c r="D82" s="4">
        <f t="shared" si="2"/>
        <v>1015</v>
      </c>
      <c r="E82" s="16">
        <f t="shared" ca="1" si="3"/>
        <v>1013.72056501545</v>
      </c>
      <c r="H82" s="16">
        <f t="shared" ca="1" si="4"/>
        <v>-288.64154909103627</v>
      </c>
      <c r="I82" s="16">
        <f t="shared" ca="1" si="5"/>
        <v>1013.7205650154498</v>
      </c>
      <c r="K82" s="16"/>
    </row>
    <row r="83" spans="1:11" x14ac:dyDescent="0.2">
      <c r="A83" s="4">
        <v>61</v>
      </c>
      <c r="B83" s="4">
        <f t="shared" si="7"/>
        <v>310</v>
      </c>
      <c r="C83" s="16">
        <f t="shared" ca="1" si="8"/>
        <v>1188.8917878713116</v>
      </c>
      <c r="D83" s="4">
        <f t="shared" si="2"/>
        <v>1030</v>
      </c>
      <c r="E83" s="16">
        <f t="shared" ca="1" si="3"/>
        <v>1028.6317388923571</v>
      </c>
      <c r="H83" s="16">
        <f t="shared" ca="1" si="4"/>
        <v>160.2600489789545</v>
      </c>
      <c r="I83" s="16">
        <f t="shared" ca="1" si="5"/>
        <v>1028.6317388923571</v>
      </c>
      <c r="K83" s="16"/>
    </row>
    <row r="84" spans="1:11" x14ac:dyDescent="0.2">
      <c r="C84" s="34">
        <f ca="1">SUM(C23:C83)</f>
        <v>35459.08787769363</v>
      </c>
      <c r="D84" s="34"/>
      <c r="E84" s="34">
        <f ca="1">SUM(E23:E83)</f>
        <v>35459.08787769363</v>
      </c>
      <c r="H84" s="34">
        <f ca="1">SUM(H23:H83)</f>
        <v>9.0949470177292824E-13</v>
      </c>
      <c r="I84" s="34"/>
      <c r="K84" s="16"/>
    </row>
    <row r="85" spans="1:11" x14ac:dyDescent="0.2">
      <c r="K85" s="16"/>
    </row>
    <row r="86" spans="1:11" x14ac:dyDescent="0.2">
      <c r="K86" s="16"/>
    </row>
    <row r="87" spans="1:11" x14ac:dyDescent="0.2">
      <c r="K87" s="16"/>
    </row>
    <row r="88" spans="1:11" x14ac:dyDescent="0.2">
      <c r="K88" s="16"/>
    </row>
  </sheetData>
  <conditionalFormatting sqref="L56">
    <cfRule type="cellIs" dxfId="3" priority="4" operator="equal">
      <formula>FALSE</formula>
    </cfRule>
  </conditionalFormatting>
  <conditionalFormatting sqref="M56">
    <cfRule type="cellIs" dxfId="2" priority="3" operator="equal">
      <formula>FALSE</formula>
    </cfRule>
  </conditionalFormatting>
  <conditionalFormatting sqref="O56">
    <cfRule type="cellIs" dxfId="1" priority="2" operator="equal">
      <formula>FALSE</formula>
    </cfRule>
  </conditionalFormatting>
  <conditionalFormatting sqref="Q56">
    <cfRule type="cellIs" dxfId="0" priority="1" operator="equal">
      <formula>FALSE</formula>
    </cfRule>
  </conditionalFormatting>
  <hyperlinks>
    <hyperlink ref="A1:D1" r:id="rId1" display="Файл скачан с сайта excel2.ru &gt;&gt;&gt;"/>
    <hyperlink ref="A2" r:id="rId2"/>
    <hyperlink ref="U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zoomScaleNormal="100" workbookViewId="0">
      <selection activeCell="Y2" sqref="Y2"/>
    </sheetView>
  </sheetViews>
  <sheetFormatPr defaultRowHeight="12.75" x14ac:dyDescent="0.2"/>
  <cols>
    <col min="1" max="1" width="18.85546875" style="4" customWidth="1"/>
    <col min="2" max="2" width="15.85546875" style="4" customWidth="1"/>
    <col min="3" max="3" width="15.42578125" style="4" customWidth="1"/>
    <col min="4" max="4" width="8.5703125" style="4" bestFit="1" customWidth="1"/>
    <col min="5" max="5" width="2.5703125" style="4" customWidth="1"/>
    <col min="6" max="6" width="7.42578125" style="4" bestFit="1" customWidth="1"/>
    <col min="7" max="7" width="8.140625" style="4" customWidth="1"/>
    <col min="8" max="8" width="12" style="4" bestFit="1" customWidth="1"/>
    <col min="9" max="9" width="8.140625" style="4" customWidth="1"/>
    <col min="10" max="10" width="11.42578125" style="4" customWidth="1"/>
    <col min="11" max="11" width="9.7109375" style="4" customWidth="1"/>
    <col min="12" max="13" width="8.140625" style="4" customWidth="1"/>
    <col min="14" max="14" width="9.140625" style="4" customWidth="1"/>
    <col min="15" max="15" width="9.42578125" style="4" customWidth="1"/>
    <col min="16" max="16" width="1.85546875" style="4" customWidth="1"/>
    <col min="17" max="18" width="8.140625" style="4" customWidth="1"/>
    <col min="19" max="19" width="13.5703125" style="4" bestFit="1" customWidth="1"/>
    <col min="20" max="20" width="10.140625" style="4" customWidth="1"/>
    <col min="21" max="25" width="8.140625" style="4" customWidth="1"/>
    <col min="26" max="258" width="9.140625" style="4"/>
    <col min="259" max="259" width="10" style="4" customWidth="1"/>
    <col min="260" max="16384" width="9.140625" style="4"/>
  </cols>
  <sheetData>
    <row r="1" spans="1:25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x14ac:dyDescent="0.25">
      <c r="A2" s="1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0" t="s">
        <v>176</v>
      </c>
    </row>
    <row r="3" spans="1:25" ht="18.75" x14ac:dyDescent="0.2">
      <c r="A3" s="1" t="s">
        <v>132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2" t="s">
        <v>136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x14ac:dyDescent="0.2">
      <c r="F5" s="4" t="s">
        <v>144</v>
      </c>
      <c r="Q5" s="11" t="s">
        <v>142</v>
      </c>
    </row>
    <row r="6" spans="1:25" x14ac:dyDescent="0.2">
      <c r="A6" s="11" t="s">
        <v>137</v>
      </c>
      <c r="C6" s="11" t="s">
        <v>138</v>
      </c>
      <c r="Q6" s="87" t="s">
        <v>133</v>
      </c>
      <c r="R6" s="88" t="s">
        <v>9</v>
      </c>
      <c r="S6" s="88" t="s">
        <v>24</v>
      </c>
      <c r="T6" s="92" t="s">
        <v>22</v>
      </c>
    </row>
    <row r="7" spans="1:25" x14ac:dyDescent="0.2">
      <c r="A7" s="8" t="s">
        <v>14</v>
      </c>
      <c r="B7" s="8" t="s">
        <v>139</v>
      </c>
      <c r="C7" s="8" t="s">
        <v>14</v>
      </c>
      <c r="D7" s="8" t="s">
        <v>139</v>
      </c>
      <c r="Q7" s="4">
        <v>1</v>
      </c>
      <c r="R7" s="4">
        <f>INDEX($B$24:$B$84,MATCH(Q7,$A$24:$A$84,0))</f>
        <v>10</v>
      </c>
      <c r="S7" s="4">
        <f>$B$8*R7+$B$9</f>
        <v>130</v>
      </c>
      <c r="T7" s="16">
        <f ca="1">$D$8*R7+$D$9</f>
        <v>133.96130627792581</v>
      </c>
    </row>
    <row r="8" spans="1:25" ht="38.25" x14ac:dyDescent="0.2">
      <c r="A8" s="9" t="s">
        <v>43</v>
      </c>
      <c r="B8" s="15">
        <f>Линейный!B8</f>
        <v>3</v>
      </c>
      <c r="C8" s="18" t="s">
        <v>141</v>
      </c>
      <c r="D8" s="20">
        <f ca="1">SLOPE(C24:C84,B24:B84)</f>
        <v>2.9822347753814378</v>
      </c>
      <c r="Q8" s="4">
        <f>B13</f>
        <v>61</v>
      </c>
      <c r="R8" s="4">
        <f>INDEX($B$24:$B$84,MATCH(Q8,$A$24:$A$84,0))</f>
        <v>310</v>
      </c>
      <c r="S8" s="4">
        <f>$B$8*R8+$B$9</f>
        <v>1030</v>
      </c>
      <c r="T8" s="16">
        <f ca="1">$D$8*R8+$D$9</f>
        <v>1028.6317388923571</v>
      </c>
    </row>
    <row r="9" spans="1:25" ht="51" x14ac:dyDescent="0.2">
      <c r="A9" s="9" t="s">
        <v>44</v>
      </c>
      <c r="B9" s="15">
        <f>Линейный!B9</f>
        <v>100</v>
      </c>
      <c r="C9" s="18" t="s">
        <v>140</v>
      </c>
      <c r="D9" s="20">
        <f ca="1">INTERCEPT(C24:C84,B24:B84)</f>
        <v>104.13895852411144</v>
      </c>
    </row>
    <row r="11" spans="1:25" x14ac:dyDescent="0.2">
      <c r="A11" s="9" t="s">
        <v>6</v>
      </c>
      <c r="B11" s="15">
        <f>Линейный!B11</f>
        <v>10</v>
      </c>
    </row>
    <row r="12" spans="1:25" x14ac:dyDescent="0.2">
      <c r="A12" s="9" t="s">
        <v>7</v>
      </c>
      <c r="B12" s="15">
        <f>Линейный!B12</f>
        <v>5</v>
      </c>
    </row>
    <row r="13" spans="1:25" x14ac:dyDescent="0.2">
      <c r="A13" s="9" t="s">
        <v>10</v>
      </c>
      <c r="B13" s="15">
        <f>COUNT(A24:A84)</f>
        <v>61</v>
      </c>
    </row>
    <row r="14" spans="1:25" x14ac:dyDescent="0.2">
      <c r="A14" s="9" t="s">
        <v>8</v>
      </c>
      <c r="B14" s="9">
        <f>B11+B12*(B13-1)</f>
        <v>310</v>
      </c>
    </row>
    <row r="15" spans="1:25" x14ac:dyDescent="0.2">
      <c r="A15" s="22" t="s">
        <v>12</v>
      </c>
      <c r="B15" s="90">
        <f>Линейный!B15</f>
        <v>0.2</v>
      </c>
      <c r="C15" s="11" t="s">
        <v>13</v>
      </c>
    </row>
    <row r="22" spans="1:18" x14ac:dyDescent="0.2">
      <c r="F22" s="4" t="s">
        <v>145</v>
      </c>
      <c r="Q22" s="11" t="s">
        <v>143</v>
      </c>
    </row>
    <row r="23" spans="1:18" x14ac:dyDescent="0.2">
      <c r="A23" s="82" t="s">
        <v>133</v>
      </c>
      <c r="B23" s="10" t="s">
        <v>9</v>
      </c>
      <c r="C23" s="10" t="s">
        <v>11</v>
      </c>
      <c r="F23" s="21" t="s">
        <v>23</v>
      </c>
      <c r="Q23" s="10" t="s">
        <v>17</v>
      </c>
      <c r="R23" s="83" t="s">
        <v>22</v>
      </c>
    </row>
    <row r="24" spans="1:18" x14ac:dyDescent="0.2">
      <c r="A24" s="4">
        <f>Линейный!A23</f>
        <v>1</v>
      </c>
      <c r="B24" s="4">
        <f>Линейный!B23</f>
        <v>10</v>
      </c>
      <c r="C24" s="16">
        <f ca="1">Линейный!C23</f>
        <v>88.862866116531904</v>
      </c>
      <c r="Q24" s="4">
        <f>$B$8*B24+$B$9</f>
        <v>130</v>
      </c>
      <c r="R24" s="16">
        <f ca="1">$D$8*B24+$D$9</f>
        <v>133.96130627792581</v>
      </c>
    </row>
    <row r="25" spans="1:18" x14ac:dyDescent="0.2">
      <c r="A25" s="4">
        <f>Линейный!A24</f>
        <v>2</v>
      </c>
      <c r="B25" s="4">
        <f>Линейный!B24</f>
        <v>15</v>
      </c>
      <c r="C25" s="16">
        <f ca="1">Линейный!C24</f>
        <v>47.012388134725924</v>
      </c>
      <c r="Q25" s="4" t="e">
        <f>NA()</f>
        <v>#N/A</v>
      </c>
      <c r="R25" s="4" t="e">
        <f>NA()</f>
        <v>#N/A</v>
      </c>
    </row>
    <row r="26" spans="1:18" x14ac:dyDescent="0.2">
      <c r="A26" s="4">
        <f>Линейный!A25</f>
        <v>3</v>
      </c>
      <c r="B26" s="4">
        <f>Линейный!B25</f>
        <v>20</v>
      </c>
      <c r="C26" s="16">
        <f ca="1">Линейный!C25</f>
        <v>251.1600380945527</v>
      </c>
      <c r="Q26" s="4" t="e">
        <f>NA()</f>
        <v>#N/A</v>
      </c>
      <c r="R26" s="4" t="e">
        <f>NA()</f>
        <v>#N/A</v>
      </c>
    </row>
    <row r="27" spans="1:18" x14ac:dyDescent="0.2">
      <c r="A27" s="4">
        <f>Линейный!A26</f>
        <v>4</v>
      </c>
      <c r="B27" s="4">
        <f>Линейный!B26</f>
        <v>25</v>
      </c>
      <c r="C27" s="16">
        <f ca="1">Линейный!C26</f>
        <v>30.963202117293292</v>
      </c>
      <c r="F27" s="16"/>
      <c r="Q27" s="4" t="e">
        <f>NA()</f>
        <v>#N/A</v>
      </c>
      <c r="R27" s="4" t="e">
        <f>NA()</f>
        <v>#N/A</v>
      </c>
    </row>
    <row r="28" spans="1:18" x14ac:dyDescent="0.2">
      <c r="A28" s="4">
        <f>Линейный!A27</f>
        <v>5</v>
      </c>
      <c r="B28" s="4">
        <f>Линейный!B27</f>
        <v>30</v>
      </c>
      <c r="C28" s="16">
        <f ca="1">Линейный!C27</f>
        <v>270.24676115036306</v>
      </c>
      <c r="Q28" s="4" t="e">
        <f>NA()</f>
        <v>#N/A</v>
      </c>
      <c r="R28" s="4" t="e">
        <f>NA()</f>
        <v>#N/A</v>
      </c>
    </row>
    <row r="29" spans="1:18" x14ac:dyDescent="0.2">
      <c r="A29" s="4">
        <f>Линейный!A28</f>
        <v>6</v>
      </c>
      <c r="B29" s="4">
        <f>Линейный!B28</f>
        <v>35</v>
      </c>
      <c r="C29" s="16">
        <f ca="1">Линейный!C28</f>
        <v>229.17210946189493</v>
      </c>
      <c r="Q29" s="4" t="e">
        <f>NA()</f>
        <v>#N/A</v>
      </c>
      <c r="R29" s="4" t="e">
        <f>NA()</f>
        <v>#N/A</v>
      </c>
    </row>
    <row r="30" spans="1:18" x14ac:dyDescent="0.2">
      <c r="A30" s="4">
        <f>Линейный!A29</f>
        <v>7</v>
      </c>
      <c r="B30" s="4">
        <f>Линейный!B29</f>
        <v>40</v>
      </c>
      <c r="C30" s="16">
        <f ca="1">Линейный!C29</f>
        <v>242.90035637162802</v>
      </c>
      <c r="F30" s="16"/>
      <c r="Q30" s="4" t="e">
        <f>NA()</f>
        <v>#N/A</v>
      </c>
      <c r="R30" s="4" t="e">
        <f>NA()</f>
        <v>#N/A</v>
      </c>
    </row>
    <row r="31" spans="1:18" x14ac:dyDescent="0.2">
      <c r="A31" s="4">
        <f>Линейный!A30</f>
        <v>8</v>
      </c>
      <c r="B31" s="4">
        <f>Линейный!B30</f>
        <v>45</v>
      </c>
      <c r="C31" s="16">
        <f ca="1">Линейный!C30</f>
        <v>290.80108472018736</v>
      </c>
      <c r="F31" s="16"/>
      <c r="Q31" s="4" t="e">
        <f>NA()</f>
        <v>#N/A</v>
      </c>
      <c r="R31" s="4" t="e">
        <f>NA()</f>
        <v>#N/A</v>
      </c>
    </row>
    <row r="32" spans="1:18" x14ac:dyDescent="0.2">
      <c r="A32" s="4">
        <f>Линейный!A31</f>
        <v>9</v>
      </c>
      <c r="B32" s="4">
        <f>Линейный!B31</f>
        <v>50</v>
      </c>
      <c r="C32" s="16">
        <f ca="1">Линейный!C31</f>
        <v>424.80320299358942</v>
      </c>
      <c r="F32" s="16"/>
      <c r="Q32" s="4" t="e">
        <f>NA()</f>
        <v>#N/A</v>
      </c>
      <c r="R32" s="4" t="e">
        <f>NA()</f>
        <v>#N/A</v>
      </c>
    </row>
    <row r="33" spans="1:18" x14ac:dyDescent="0.2">
      <c r="A33" s="4">
        <f>Линейный!A32</f>
        <v>10</v>
      </c>
      <c r="B33" s="4">
        <f>Линейный!B32</f>
        <v>55</v>
      </c>
      <c r="C33" s="16">
        <f ca="1">Линейный!C32</f>
        <v>108.55373538466083</v>
      </c>
      <c r="F33" s="16"/>
      <c r="Q33" s="4" t="e">
        <f>NA()</f>
        <v>#N/A</v>
      </c>
      <c r="R33" s="4" t="e">
        <f>NA()</f>
        <v>#N/A</v>
      </c>
    </row>
    <row r="34" spans="1:18" x14ac:dyDescent="0.2">
      <c r="A34" s="4">
        <f>Линейный!A33</f>
        <v>11</v>
      </c>
      <c r="B34" s="4">
        <f>Линейный!B33</f>
        <v>60</v>
      </c>
      <c r="C34" s="16">
        <f ca="1">Линейный!C33</f>
        <v>233.1170475684809</v>
      </c>
      <c r="F34" s="16"/>
      <c r="Q34" s="4" t="e">
        <f>NA()</f>
        <v>#N/A</v>
      </c>
      <c r="R34" s="4" t="e">
        <f>NA()</f>
        <v>#N/A</v>
      </c>
    </row>
    <row r="35" spans="1:18" x14ac:dyDescent="0.2">
      <c r="A35" s="4">
        <f>Линейный!A34</f>
        <v>12</v>
      </c>
      <c r="B35" s="4">
        <f>Линейный!B34</f>
        <v>65</v>
      </c>
      <c r="C35" s="16">
        <f ca="1">Линейный!C34</f>
        <v>330.62913344803286</v>
      </c>
      <c r="F35" s="16"/>
      <c r="Q35" s="4" t="e">
        <f>NA()</f>
        <v>#N/A</v>
      </c>
      <c r="R35" s="4" t="e">
        <f>NA()</f>
        <v>#N/A</v>
      </c>
    </row>
    <row r="36" spans="1:18" x14ac:dyDescent="0.2">
      <c r="A36" s="4">
        <f>Линейный!A35</f>
        <v>13</v>
      </c>
      <c r="B36" s="4">
        <f>Линейный!B35</f>
        <v>70</v>
      </c>
      <c r="C36" s="16">
        <f ca="1">Линейный!C35</f>
        <v>361.11444224548211</v>
      </c>
      <c r="F36" s="16"/>
      <c r="Q36" s="4" t="e">
        <f>NA()</f>
        <v>#N/A</v>
      </c>
      <c r="R36" s="4" t="e">
        <f>NA()</f>
        <v>#N/A</v>
      </c>
    </row>
    <row r="37" spans="1:18" x14ac:dyDescent="0.2">
      <c r="A37" s="4">
        <f>Линейный!A36</f>
        <v>14</v>
      </c>
      <c r="B37" s="4">
        <f>Линейный!B36</f>
        <v>75</v>
      </c>
      <c r="C37" s="16">
        <f ca="1">Линейный!C36</f>
        <v>201.19328043559568</v>
      </c>
      <c r="F37" s="16"/>
      <c r="Q37" s="4" t="e">
        <f>NA()</f>
        <v>#N/A</v>
      </c>
      <c r="R37" s="4" t="e">
        <f>NA()</f>
        <v>#N/A</v>
      </c>
    </row>
    <row r="38" spans="1:18" x14ac:dyDescent="0.2">
      <c r="A38" s="4">
        <f>Линейный!A37</f>
        <v>15</v>
      </c>
      <c r="B38" s="4">
        <f>Линейный!B37</f>
        <v>80</v>
      </c>
      <c r="C38" s="16">
        <f ca="1">Линейный!C37</f>
        <v>464.07140961706824</v>
      </c>
      <c r="F38" s="16"/>
      <c r="Q38" s="4" t="e">
        <f>NA()</f>
        <v>#N/A</v>
      </c>
      <c r="R38" s="4" t="e">
        <f>NA()</f>
        <v>#N/A</v>
      </c>
    </row>
    <row r="39" spans="1:18" x14ac:dyDescent="0.2">
      <c r="A39" s="4">
        <f>Линейный!A38</f>
        <v>16</v>
      </c>
      <c r="B39" s="4">
        <f>Линейный!B38</f>
        <v>85</v>
      </c>
      <c r="C39" s="16">
        <f ca="1">Линейный!C38</f>
        <v>579.14685415480631</v>
      </c>
      <c r="F39" s="16"/>
      <c r="Q39" s="4" t="e">
        <f>NA()</f>
        <v>#N/A</v>
      </c>
      <c r="R39" s="4" t="e">
        <f>NA()</f>
        <v>#N/A</v>
      </c>
    </row>
    <row r="40" spans="1:18" x14ac:dyDescent="0.2">
      <c r="A40" s="4">
        <f>Линейный!A39</f>
        <v>17</v>
      </c>
      <c r="B40" s="4">
        <f>Линейный!B39</f>
        <v>90</v>
      </c>
      <c r="C40" s="16">
        <f ca="1">Линейный!C39</f>
        <v>635.24920972038785</v>
      </c>
      <c r="F40" s="16"/>
      <c r="Q40" s="4" t="e">
        <f>NA()</f>
        <v>#N/A</v>
      </c>
      <c r="R40" s="4" t="e">
        <f>NA()</f>
        <v>#N/A</v>
      </c>
    </row>
    <row r="41" spans="1:18" x14ac:dyDescent="0.2">
      <c r="A41" s="4">
        <f>Линейный!A40</f>
        <v>18</v>
      </c>
      <c r="B41" s="4">
        <f>Линейный!B40</f>
        <v>95</v>
      </c>
      <c r="C41" s="16">
        <f ca="1">Линейный!C40</f>
        <v>283.76598217248187</v>
      </c>
      <c r="F41" s="16"/>
      <c r="Q41" s="4" t="e">
        <f>NA()</f>
        <v>#N/A</v>
      </c>
      <c r="R41" s="4" t="e">
        <f>NA()</f>
        <v>#N/A</v>
      </c>
    </row>
    <row r="42" spans="1:18" x14ac:dyDescent="0.2">
      <c r="A42" s="4">
        <f>Линейный!A41</f>
        <v>19</v>
      </c>
      <c r="B42" s="4">
        <f>Линейный!B41</f>
        <v>100</v>
      </c>
      <c r="C42" s="16">
        <f ca="1">Линейный!C41</f>
        <v>602.82209872923488</v>
      </c>
      <c r="F42" s="16"/>
      <c r="Q42" s="4" t="e">
        <f>NA()</f>
        <v>#N/A</v>
      </c>
      <c r="R42" s="4" t="e">
        <f>NA()</f>
        <v>#N/A</v>
      </c>
    </row>
    <row r="43" spans="1:18" x14ac:dyDescent="0.2">
      <c r="A43" s="4">
        <f>Линейный!A42</f>
        <v>20</v>
      </c>
      <c r="B43" s="4">
        <f>Линейный!B42</f>
        <v>105</v>
      </c>
      <c r="C43" s="16">
        <f ca="1">Линейный!C42</f>
        <v>291.03991466733356</v>
      </c>
      <c r="F43" s="16"/>
      <c r="Q43" s="4" t="e">
        <f>NA()</f>
        <v>#N/A</v>
      </c>
      <c r="R43" s="4" t="e">
        <f>NA()</f>
        <v>#N/A</v>
      </c>
    </row>
    <row r="44" spans="1:18" x14ac:dyDescent="0.2">
      <c r="A44" s="4">
        <f>Линейный!A43</f>
        <v>21</v>
      </c>
      <c r="B44" s="4">
        <f>Линейный!B43</f>
        <v>110</v>
      </c>
      <c r="C44" s="16">
        <f ca="1">Линейный!C43</f>
        <v>281.16893742305444</v>
      </c>
      <c r="F44" s="16"/>
      <c r="Q44" s="4" t="e">
        <f>NA()</f>
        <v>#N/A</v>
      </c>
      <c r="R44" s="4" t="e">
        <f>NA()</f>
        <v>#N/A</v>
      </c>
    </row>
    <row r="45" spans="1:18" x14ac:dyDescent="0.2">
      <c r="A45" s="4">
        <f>Линейный!A44</f>
        <v>22</v>
      </c>
      <c r="B45" s="4">
        <f>Линейный!B44</f>
        <v>115</v>
      </c>
      <c r="C45" s="16">
        <f ca="1">Линейный!C44</f>
        <v>352.14079198089843</v>
      </c>
      <c r="F45" s="16"/>
      <c r="Q45" s="4" t="e">
        <f>NA()</f>
        <v>#N/A</v>
      </c>
      <c r="R45" s="4" t="e">
        <f>NA()</f>
        <v>#N/A</v>
      </c>
    </row>
    <row r="46" spans="1:18" x14ac:dyDescent="0.2">
      <c r="A46" s="4">
        <f>Линейный!A45</f>
        <v>23</v>
      </c>
      <c r="B46" s="4">
        <f>Линейный!B45</f>
        <v>120</v>
      </c>
      <c r="C46" s="16">
        <f ca="1">Линейный!C45</f>
        <v>422.03767174040337</v>
      </c>
      <c r="Q46" s="4" t="e">
        <f>NA()</f>
        <v>#N/A</v>
      </c>
      <c r="R46" s="4" t="e">
        <f>NA()</f>
        <v>#N/A</v>
      </c>
    </row>
    <row r="47" spans="1:18" x14ac:dyDescent="0.2">
      <c r="A47" s="4">
        <f>Линейный!A46</f>
        <v>24</v>
      </c>
      <c r="B47" s="4">
        <f>Линейный!B46</f>
        <v>125</v>
      </c>
      <c r="C47" s="16">
        <f ca="1">Линейный!C46</f>
        <v>266.48600516068632</v>
      </c>
      <c r="Q47" s="4" t="e">
        <f>NA()</f>
        <v>#N/A</v>
      </c>
      <c r="R47" s="4" t="e">
        <f>NA()</f>
        <v>#N/A</v>
      </c>
    </row>
    <row r="48" spans="1:18" x14ac:dyDescent="0.2">
      <c r="A48" s="4">
        <f>Линейный!A47</f>
        <v>25</v>
      </c>
      <c r="B48" s="4">
        <f>Линейный!B47</f>
        <v>130</v>
      </c>
      <c r="C48" s="16">
        <f ca="1">Линейный!C47</f>
        <v>548.90950918538545</v>
      </c>
      <c r="Q48" s="4" t="e">
        <f>NA()</f>
        <v>#N/A</v>
      </c>
      <c r="R48" s="4" t="e">
        <f>NA()</f>
        <v>#N/A</v>
      </c>
    </row>
    <row r="49" spans="1:18" x14ac:dyDescent="0.2">
      <c r="A49" s="4">
        <f>Линейный!A48</f>
        <v>26</v>
      </c>
      <c r="B49" s="4">
        <f>Линейный!B48</f>
        <v>135</v>
      </c>
      <c r="C49" s="16">
        <f ca="1">Линейный!C48</f>
        <v>558.87248347608931</v>
      </c>
      <c r="Q49" s="4" t="e">
        <f>NA()</f>
        <v>#N/A</v>
      </c>
      <c r="R49" s="4" t="e">
        <f>NA()</f>
        <v>#N/A</v>
      </c>
    </row>
    <row r="50" spans="1:18" x14ac:dyDescent="0.2">
      <c r="A50" s="4">
        <f>Линейный!A49</f>
        <v>27</v>
      </c>
      <c r="B50" s="4">
        <f>Линейный!B49</f>
        <v>140</v>
      </c>
      <c r="C50" s="16">
        <f ca="1">Линейный!C49</f>
        <v>339.9731507992521</v>
      </c>
      <c r="F50" s="16"/>
      <c r="Q50" s="4" t="e">
        <f>NA()</f>
        <v>#N/A</v>
      </c>
      <c r="R50" s="4" t="e">
        <f>NA()</f>
        <v>#N/A</v>
      </c>
    </row>
    <row r="51" spans="1:18" x14ac:dyDescent="0.2">
      <c r="A51" s="4">
        <f>Линейный!A50</f>
        <v>28</v>
      </c>
      <c r="B51" s="4">
        <f>Линейный!B50</f>
        <v>145</v>
      </c>
      <c r="C51" s="16">
        <f ca="1">Линейный!C50</f>
        <v>596.59088413494931</v>
      </c>
      <c r="F51" s="16"/>
      <c r="Q51" s="4" t="e">
        <f>NA()</f>
        <v>#N/A</v>
      </c>
      <c r="R51" s="4" t="e">
        <f>NA()</f>
        <v>#N/A</v>
      </c>
    </row>
    <row r="52" spans="1:18" x14ac:dyDescent="0.2">
      <c r="A52" s="4">
        <f>Линейный!A51</f>
        <v>29</v>
      </c>
      <c r="B52" s="4">
        <f>Линейный!B51</f>
        <v>150</v>
      </c>
      <c r="C52" s="16">
        <f ca="1">Линейный!C51</f>
        <v>513.4879363511136</v>
      </c>
      <c r="F52" s="16"/>
      <c r="Q52" s="4" t="e">
        <f>NA()</f>
        <v>#N/A</v>
      </c>
      <c r="R52" s="4" t="e">
        <f>NA()</f>
        <v>#N/A</v>
      </c>
    </row>
    <row r="53" spans="1:18" x14ac:dyDescent="0.2">
      <c r="A53" s="4">
        <f>Линейный!A52</f>
        <v>30</v>
      </c>
      <c r="B53" s="4">
        <f>Линейный!B52</f>
        <v>155</v>
      </c>
      <c r="C53" s="16">
        <f ca="1">Линейный!C52</f>
        <v>554.79239448578187</v>
      </c>
      <c r="F53" s="16"/>
      <c r="Q53" s="4" t="e">
        <f>NA()</f>
        <v>#N/A</v>
      </c>
      <c r="R53" s="4" t="e">
        <f>NA()</f>
        <v>#N/A</v>
      </c>
    </row>
    <row r="54" spans="1:18" x14ac:dyDescent="0.2">
      <c r="A54" s="4">
        <f>Линейный!A53</f>
        <v>31</v>
      </c>
      <c r="B54" s="4">
        <f>Линейный!B53</f>
        <v>160</v>
      </c>
      <c r="C54" s="16">
        <f ca="1">Линейный!C53</f>
        <v>700.57148061705107</v>
      </c>
      <c r="F54" s="16"/>
      <c r="Q54" s="4" t="e">
        <f>NA()</f>
        <v>#N/A</v>
      </c>
      <c r="R54" s="4" t="e">
        <f>NA()</f>
        <v>#N/A</v>
      </c>
    </row>
    <row r="55" spans="1:18" x14ac:dyDescent="0.2">
      <c r="A55" s="4">
        <f>Линейный!A54</f>
        <v>32</v>
      </c>
      <c r="B55" s="4">
        <f>Линейный!B54</f>
        <v>165</v>
      </c>
      <c r="C55" s="16">
        <f ca="1">Линейный!C54</f>
        <v>455.76783337792227</v>
      </c>
      <c r="F55" s="16"/>
      <c r="Q55" s="4" t="e">
        <f>NA()</f>
        <v>#N/A</v>
      </c>
      <c r="R55" s="4" t="e">
        <f>NA()</f>
        <v>#N/A</v>
      </c>
    </row>
    <row r="56" spans="1:18" x14ac:dyDescent="0.2">
      <c r="A56" s="4">
        <f>Линейный!A55</f>
        <v>33</v>
      </c>
      <c r="B56" s="4">
        <f>Линейный!B55</f>
        <v>170</v>
      </c>
      <c r="C56" s="16">
        <f ca="1">Линейный!C55</f>
        <v>384.52223829680088</v>
      </c>
      <c r="F56" s="16"/>
      <c r="Q56" s="4" t="e">
        <f>NA()</f>
        <v>#N/A</v>
      </c>
      <c r="R56" s="4" t="e">
        <f>NA()</f>
        <v>#N/A</v>
      </c>
    </row>
    <row r="57" spans="1:18" x14ac:dyDescent="0.2">
      <c r="A57" s="4">
        <f>Линейный!A56</f>
        <v>34</v>
      </c>
      <c r="B57" s="4">
        <f>Линейный!B56</f>
        <v>175</v>
      </c>
      <c r="C57" s="16">
        <f ca="1">Линейный!C56</f>
        <v>709.78086270173287</v>
      </c>
      <c r="F57" s="16"/>
      <c r="Q57" s="4" t="e">
        <f>NA()</f>
        <v>#N/A</v>
      </c>
      <c r="R57" s="4" t="e">
        <f>NA()</f>
        <v>#N/A</v>
      </c>
    </row>
    <row r="58" spans="1:18" x14ac:dyDescent="0.2">
      <c r="A58" s="4">
        <f>Линейный!A57</f>
        <v>35</v>
      </c>
      <c r="B58" s="4">
        <f>Линейный!B57</f>
        <v>180</v>
      </c>
      <c r="C58" s="16">
        <f ca="1">Линейный!C57</f>
        <v>645.06089653585798</v>
      </c>
      <c r="F58" s="16"/>
      <c r="Q58" s="4" t="e">
        <f>NA()</f>
        <v>#N/A</v>
      </c>
      <c r="R58" s="4" t="e">
        <f>NA()</f>
        <v>#N/A</v>
      </c>
    </row>
    <row r="59" spans="1:18" x14ac:dyDescent="0.2">
      <c r="A59" s="4">
        <f>Линейный!A58</f>
        <v>36</v>
      </c>
      <c r="B59" s="4">
        <f>Линейный!B58</f>
        <v>185</v>
      </c>
      <c r="C59" s="16">
        <f ca="1">Линейный!C58</f>
        <v>788.99356300623583</v>
      </c>
      <c r="F59" s="16"/>
      <c r="Q59" s="4" t="e">
        <f>NA()</f>
        <v>#N/A</v>
      </c>
      <c r="R59" s="4" t="e">
        <f>NA()</f>
        <v>#N/A</v>
      </c>
    </row>
    <row r="60" spans="1:18" x14ac:dyDescent="0.2">
      <c r="A60" s="4">
        <f>Линейный!A59</f>
        <v>37</v>
      </c>
      <c r="B60" s="4">
        <f>Линейный!B59</f>
        <v>190</v>
      </c>
      <c r="C60" s="16">
        <f ca="1">Линейный!C59</f>
        <v>834.13986449241963</v>
      </c>
      <c r="F60" s="16"/>
      <c r="Q60" s="4" t="e">
        <f>NA()</f>
        <v>#N/A</v>
      </c>
      <c r="R60" s="4" t="e">
        <f>NA()</f>
        <v>#N/A</v>
      </c>
    </row>
    <row r="61" spans="1:18" x14ac:dyDescent="0.2">
      <c r="A61" s="4">
        <f>Линейный!A60</f>
        <v>38</v>
      </c>
      <c r="B61" s="4">
        <f>Линейный!B60</f>
        <v>195</v>
      </c>
      <c r="C61" s="16">
        <f ca="1">Линейный!C60</f>
        <v>668.44035408557806</v>
      </c>
      <c r="F61" s="16"/>
      <c r="Q61" s="4" t="e">
        <f>NA()</f>
        <v>#N/A</v>
      </c>
      <c r="R61" s="4" t="e">
        <f>NA()</f>
        <v>#N/A</v>
      </c>
    </row>
    <row r="62" spans="1:18" x14ac:dyDescent="0.2">
      <c r="A62" s="4">
        <f>Линейный!A61</f>
        <v>39</v>
      </c>
      <c r="B62" s="4">
        <f>Линейный!B61</f>
        <v>200</v>
      </c>
      <c r="C62" s="16">
        <f ca="1">Линейный!C61</f>
        <v>584.27355527254156</v>
      </c>
      <c r="F62" s="16"/>
      <c r="Q62" s="4" t="e">
        <f>NA()</f>
        <v>#N/A</v>
      </c>
      <c r="R62" s="4" t="e">
        <f>NA()</f>
        <v>#N/A</v>
      </c>
    </row>
    <row r="63" spans="1:18" x14ac:dyDescent="0.2">
      <c r="A63" s="4">
        <f>Линейный!A62</f>
        <v>40</v>
      </c>
      <c r="B63" s="4">
        <f>Линейный!B62</f>
        <v>205</v>
      </c>
      <c r="C63" s="16">
        <f ca="1">Линейный!C62</f>
        <v>848.51080810791882</v>
      </c>
      <c r="F63" s="16"/>
      <c r="Q63" s="4" t="e">
        <f>NA()</f>
        <v>#N/A</v>
      </c>
      <c r="R63" s="4" t="e">
        <f>NA()</f>
        <v>#N/A</v>
      </c>
    </row>
    <row r="64" spans="1:18" x14ac:dyDescent="0.2">
      <c r="A64" s="4">
        <f>Линейный!A63</f>
        <v>41</v>
      </c>
      <c r="B64" s="4">
        <f>Линейный!B63</f>
        <v>210</v>
      </c>
      <c r="C64" s="16">
        <f ca="1">Линейный!C63</f>
        <v>580.45948012044073</v>
      </c>
      <c r="F64" s="16"/>
      <c r="Q64" s="4" t="e">
        <f>NA()</f>
        <v>#N/A</v>
      </c>
      <c r="R64" s="4" t="e">
        <f>NA()</f>
        <v>#N/A</v>
      </c>
    </row>
    <row r="65" spans="1:18" x14ac:dyDescent="0.2">
      <c r="A65" s="4">
        <f>Линейный!A64</f>
        <v>42</v>
      </c>
      <c r="B65" s="4">
        <f>Линейный!B64</f>
        <v>215</v>
      </c>
      <c r="C65" s="16">
        <f ca="1">Линейный!C64</f>
        <v>756.59519960871262</v>
      </c>
      <c r="F65" s="16"/>
      <c r="Q65" s="4" t="e">
        <f>NA()</f>
        <v>#N/A</v>
      </c>
      <c r="R65" s="4" t="e">
        <f>NA()</f>
        <v>#N/A</v>
      </c>
    </row>
    <row r="66" spans="1:18" x14ac:dyDescent="0.2">
      <c r="A66" s="4">
        <f>Линейный!A65</f>
        <v>43</v>
      </c>
      <c r="B66" s="4">
        <f>Линейный!B65</f>
        <v>220</v>
      </c>
      <c r="C66" s="16">
        <f ca="1">Линейный!C65</f>
        <v>894.39362383638024</v>
      </c>
      <c r="F66" s="16"/>
      <c r="Q66" s="4" t="e">
        <f>NA()</f>
        <v>#N/A</v>
      </c>
      <c r="R66" s="4" t="e">
        <f>NA()</f>
        <v>#N/A</v>
      </c>
    </row>
    <row r="67" spans="1:18" x14ac:dyDescent="0.2">
      <c r="A67" s="4">
        <f>Линейный!A66</f>
        <v>44</v>
      </c>
      <c r="B67" s="4">
        <f>Линейный!B66</f>
        <v>225</v>
      </c>
      <c r="C67" s="16">
        <f ca="1">Линейный!C66</f>
        <v>838.03161073585773</v>
      </c>
      <c r="F67" s="16"/>
      <c r="Q67" s="4" t="e">
        <f>NA()</f>
        <v>#N/A</v>
      </c>
      <c r="R67" s="4" t="e">
        <f>NA()</f>
        <v>#N/A</v>
      </c>
    </row>
    <row r="68" spans="1:18" x14ac:dyDescent="0.2">
      <c r="A68" s="4">
        <f>Линейный!A67</f>
        <v>45</v>
      </c>
      <c r="B68" s="4">
        <f>Линейный!B67</f>
        <v>230</v>
      </c>
      <c r="C68" s="16">
        <f ca="1">Линейный!C67</f>
        <v>648.69205528562088</v>
      </c>
      <c r="F68" s="16"/>
      <c r="Q68" s="4" t="e">
        <f>NA()</f>
        <v>#N/A</v>
      </c>
      <c r="R68" s="4" t="e">
        <f>NA()</f>
        <v>#N/A</v>
      </c>
    </row>
    <row r="69" spans="1:18" x14ac:dyDescent="0.2">
      <c r="A69" s="4">
        <f>Линейный!A68</f>
        <v>46</v>
      </c>
      <c r="B69" s="4">
        <f>Линейный!B68</f>
        <v>235</v>
      </c>
      <c r="C69" s="16">
        <f ca="1">Линейный!C68</f>
        <v>836.47727533980685</v>
      </c>
      <c r="F69" s="16"/>
      <c r="Q69" s="4" t="e">
        <f>NA()</f>
        <v>#N/A</v>
      </c>
      <c r="R69" s="4" t="e">
        <f>NA()</f>
        <v>#N/A</v>
      </c>
    </row>
    <row r="70" spans="1:18" x14ac:dyDescent="0.2">
      <c r="A70" s="4">
        <f>Линейный!A69</f>
        <v>47</v>
      </c>
      <c r="B70" s="4">
        <f>Линейный!B69</f>
        <v>240</v>
      </c>
      <c r="C70" s="16">
        <f ca="1">Линейный!C69</f>
        <v>762.69879582195415</v>
      </c>
      <c r="F70" s="16"/>
      <c r="Q70" s="4" t="e">
        <f>NA()</f>
        <v>#N/A</v>
      </c>
      <c r="R70" s="4" t="e">
        <f>NA()</f>
        <v>#N/A</v>
      </c>
    </row>
    <row r="71" spans="1:18" x14ac:dyDescent="0.2">
      <c r="A71" s="4">
        <f>Линейный!A70</f>
        <v>48</v>
      </c>
      <c r="B71" s="4">
        <f>Линейный!B70</f>
        <v>245</v>
      </c>
      <c r="C71" s="16">
        <f ca="1">Линейный!C70</f>
        <v>605.56832095296068</v>
      </c>
      <c r="F71" s="16"/>
      <c r="Q71" s="4" t="e">
        <f>NA()</f>
        <v>#N/A</v>
      </c>
      <c r="R71" s="4" t="e">
        <f>NA()</f>
        <v>#N/A</v>
      </c>
    </row>
    <row r="72" spans="1:18" x14ac:dyDescent="0.2">
      <c r="A72" s="4">
        <f>Линейный!A71</f>
        <v>49</v>
      </c>
      <c r="B72" s="4">
        <f>Линейный!B71</f>
        <v>250</v>
      </c>
      <c r="C72" s="16">
        <f ca="1">Линейный!C71</f>
        <v>840.11456726199037</v>
      </c>
      <c r="F72" s="16"/>
      <c r="J72" s="16"/>
      <c r="Q72" s="4" t="e">
        <f>NA()</f>
        <v>#N/A</v>
      </c>
      <c r="R72" s="4" t="e">
        <f>NA()</f>
        <v>#N/A</v>
      </c>
    </row>
    <row r="73" spans="1:18" x14ac:dyDescent="0.2">
      <c r="A73" s="4">
        <f>Линейный!A72</f>
        <v>50</v>
      </c>
      <c r="B73" s="4">
        <f>Линейный!B72</f>
        <v>255</v>
      </c>
      <c r="C73" s="16">
        <f ca="1">Линейный!C72</f>
        <v>955.88889979718965</v>
      </c>
      <c r="F73" s="16"/>
      <c r="J73" s="16"/>
      <c r="Q73" s="4" t="e">
        <f>NA()</f>
        <v>#N/A</v>
      </c>
      <c r="R73" s="4" t="e">
        <f>NA()</f>
        <v>#N/A</v>
      </c>
    </row>
    <row r="74" spans="1:18" x14ac:dyDescent="0.2">
      <c r="A74" s="4">
        <f>Линейный!A73</f>
        <v>51</v>
      </c>
      <c r="B74" s="4">
        <f>Линейный!B73</f>
        <v>260</v>
      </c>
      <c r="C74" s="16">
        <f ca="1">Линейный!C73</f>
        <v>1011.4160022703484</v>
      </c>
      <c r="F74" s="16"/>
      <c r="J74" s="16"/>
      <c r="Q74" s="4" t="e">
        <f>NA()</f>
        <v>#N/A</v>
      </c>
      <c r="R74" s="4" t="e">
        <f>NA()</f>
        <v>#N/A</v>
      </c>
    </row>
    <row r="75" spans="1:18" x14ac:dyDescent="0.2">
      <c r="A75" s="4">
        <f>Линейный!A74</f>
        <v>52</v>
      </c>
      <c r="B75" s="4">
        <f>Линейный!B74</f>
        <v>265</v>
      </c>
      <c r="C75" s="16">
        <f ca="1">Линейный!C74</f>
        <v>934.50202402706577</v>
      </c>
      <c r="F75" s="16"/>
      <c r="J75" s="16"/>
      <c r="Q75" s="4" t="e">
        <f>NA()</f>
        <v>#N/A</v>
      </c>
      <c r="R75" s="4" t="e">
        <f>NA()</f>
        <v>#N/A</v>
      </c>
    </row>
    <row r="76" spans="1:18" x14ac:dyDescent="0.2">
      <c r="A76" s="4">
        <f>Линейный!A75</f>
        <v>53</v>
      </c>
      <c r="B76" s="4">
        <f>Линейный!B75</f>
        <v>270</v>
      </c>
      <c r="C76" s="16">
        <f ca="1">Линейный!C75</f>
        <v>969.95138694187892</v>
      </c>
      <c r="F76" s="16"/>
      <c r="J76" s="16"/>
      <c r="Q76" s="4" t="e">
        <f>NA()</f>
        <v>#N/A</v>
      </c>
      <c r="R76" s="4" t="e">
        <f>NA()</f>
        <v>#N/A</v>
      </c>
    </row>
    <row r="77" spans="1:18" x14ac:dyDescent="0.2">
      <c r="A77" s="4">
        <f>Линейный!A76</f>
        <v>54</v>
      </c>
      <c r="B77" s="4">
        <f>Линейный!B76</f>
        <v>275</v>
      </c>
      <c r="C77" s="16">
        <f ca="1">Линейный!C76</f>
        <v>1066.2509626897208</v>
      </c>
      <c r="F77" s="16"/>
      <c r="J77" s="16"/>
      <c r="Q77" s="4" t="e">
        <f>NA()</f>
        <v>#N/A</v>
      </c>
      <c r="R77" s="4" t="e">
        <f>NA()</f>
        <v>#N/A</v>
      </c>
    </row>
    <row r="78" spans="1:18" x14ac:dyDescent="0.2">
      <c r="A78" s="4">
        <f>Линейный!A77</f>
        <v>55</v>
      </c>
      <c r="B78" s="4">
        <f>Линейный!B77</f>
        <v>280</v>
      </c>
      <c r="C78" s="16">
        <f ca="1">Линейный!C77</f>
        <v>889.90470469977527</v>
      </c>
      <c r="F78" s="16"/>
      <c r="J78" s="16"/>
      <c r="Q78" s="4" t="e">
        <f>NA()</f>
        <v>#N/A</v>
      </c>
      <c r="R78" s="4" t="e">
        <f>NA()</f>
        <v>#N/A</v>
      </c>
    </row>
    <row r="79" spans="1:18" x14ac:dyDescent="0.2">
      <c r="A79" s="4">
        <f>Линейный!A78</f>
        <v>56</v>
      </c>
      <c r="B79" s="4">
        <f>Линейный!B78</f>
        <v>285</v>
      </c>
      <c r="C79" s="16">
        <f ca="1">Линейный!C78</f>
        <v>1100.8815306674619</v>
      </c>
      <c r="F79" s="16"/>
      <c r="J79" s="16"/>
      <c r="Q79" s="4" t="e">
        <f>NA()</f>
        <v>#N/A</v>
      </c>
      <c r="R79" s="4" t="e">
        <f>NA()</f>
        <v>#N/A</v>
      </c>
    </row>
    <row r="80" spans="1:18" x14ac:dyDescent="0.2">
      <c r="A80" s="4">
        <f>Линейный!A79</f>
        <v>57</v>
      </c>
      <c r="B80" s="4">
        <f>Линейный!B79</f>
        <v>290</v>
      </c>
      <c r="C80" s="16">
        <f ca="1">Линейный!C79</f>
        <v>833.08327843162147</v>
      </c>
      <c r="F80" s="16"/>
      <c r="J80" s="16"/>
      <c r="Q80" s="4" t="e">
        <f>NA()</f>
        <v>#N/A</v>
      </c>
      <c r="R80" s="4" t="e">
        <f>NA()</f>
        <v>#N/A</v>
      </c>
    </row>
    <row r="81" spans="1:18" x14ac:dyDescent="0.2">
      <c r="A81" s="4">
        <f>Линейный!A80</f>
        <v>58</v>
      </c>
      <c r="B81" s="4">
        <f>Линейный!B80</f>
        <v>295</v>
      </c>
      <c r="C81" s="16">
        <f ca="1">Линейный!C80</f>
        <v>1158.4955453083955</v>
      </c>
      <c r="F81" s="16"/>
      <c r="J81" s="16"/>
      <c r="Q81" s="4" t="e">
        <f>NA()</f>
        <v>#N/A</v>
      </c>
      <c r="R81" s="4" t="e">
        <f>NA()</f>
        <v>#N/A</v>
      </c>
    </row>
    <row r="82" spans="1:18" x14ac:dyDescent="0.2">
      <c r="A82" s="4">
        <f>Линейный!A81</f>
        <v>59</v>
      </c>
      <c r="B82" s="4">
        <f>Линейный!B81</f>
        <v>300</v>
      </c>
      <c r="C82" s="16">
        <f ca="1">Линейный!C81</f>
        <v>840.56547156471947</v>
      </c>
      <c r="F82" s="16"/>
      <c r="J82" s="16"/>
      <c r="Q82" s="4" t="e">
        <f>NA()</f>
        <v>#N/A</v>
      </c>
      <c r="R82" s="4" t="e">
        <f>NA()</f>
        <v>#N/A</v>
      </c>
    </row>
    <row r="83" spans="1:18" x14ac:dyDescent="0.2">
      <c r="A83" s="4">
        <f>Линейный!A82</f>
        <v>60</v>
      </c>
      <c r="B83" s="4">
        <f>Линейный!B82</f>
        <v>305</v>
      </c>
      <c r="C83" s="16">
        <f ca="1">Линейный!C82</f>
        <v>725.07901592441374</v>
      </c>
      <c r="F83" s="16"/>
      <c r="J83" s="16"/>
      <c r="Q83" s="4" t="e">
        <f>NA()</f>
        <v>#N/A</v>
      </c>
      <c r="R83" s="4" t="e">
        <f>NA()</f>
        <v>#N/A</v>
      </c>
    </row>
    <row r="84" spans="1:18" x14ac:dyDescent="0.2">
      <c r="A84" s="4">
        <f>Линейный!A83</f>
        <v>61</v>
      </c>
      <c r="B84" s="4">
        <f>Линейный!B83</f>
        <v>310</v>
      </c>
      <c r="C84" s="16">
        <f ca="1">Линейный!C83</f>
        <v>1188.8917878713116</v>
      </c>
      <c r="F84" s="16"/>
      <c r="J84" s="16"/>
      <c r="Q84" s="4">
        <f>$B$8*B84+$B$9</f>
        <v>1030</v>
      </c>
      <c r="R84" s="16">
        <f ca="1">$D$8*B84+$D$9</f>
        <v>1028.6317388923571</v>
      </c>
    </row>
  </sheetData>
  <hyperlinks>
    <hyperlink ref="A1:D1" r:id="rId1" display="Файл скачан с сайта excel2.ru &gt;&gt;&gt;"/>
    <hyperlink ref="A2" r:id="rId2"/>
    <hyperlink ref="Y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H2" sqref="H2"/>
    </sheetView>
  </sheetViews>
  <sheetFormatPr defaultRowHeight="15" x14ac:dyDescent="0.25"/>
  <cols>
    <col min="1" max="1" width="9.140625" style="26"/>
    <col min="2" max="2" width="10.42578125" style="26" customWidth="1"/>
    <col min="3" max="3" width="10.140625" style="26" customWidth="1"/>
    <col min="4" max="6" width="9.140625" style="26"/>
    <col min="7" max="7" width="10.7109375" style="26" customWidth="1"/>
    <col min="8" max="8" width="10.28515625" style="26" customWidth="1"/>
    <col min="9" max="9" width="9.140625" style="26"/>
    <col min="10" max="10" width="10.5703125" style="26" customWidth="1"/>
    <col min="11" max="11" width="11.42578125" style="26" customWidth="1"/>
    <col min="12" max="16384" width="9.140625" style="26"/>
  </cols>
  <sheetData>
    <row r="1" spans="1:13" ht="26.25" x14ac:dyDescent="0.25">
      <c r="A1" s="3" t="s">
        <v>1</v>
      </c>
      <c r="B1" s="3"/>
      <c r="C1" s="3"/>
      <c r="D1" s="3"/>
      <c r="E1" s="3"/>
      <c r="F1" s="3"/>
      <c r="G1" s="3"/>
      <c r="H1" s="3"/>
      <c r="J1" s="101" t="s">
        <v>152</v>
      </c>
    </row>
    <row r="2" spans="1:13" ht="15.75" x14ac:dyDescent="0.25">
      <c r="A2" s="13" t="s">
        <v>0</v>
      </c>
      <c r="B2" s="2"/>
      <c r="C2" s="2"/>
      <c r="D2" s="2"/>
      <c r="E2" s="2"/>
      <c r="F2" s="2"/>
      <c r="G2" s="2"/>
      <c r="H2" s="110" t="s">
        <v>176</v>
      </c>
      <c r="J2" s="101" t="s">
        <v>153</v>
      </c>
    </row>
    <row r="3" spans="1:13" ht="18.75" x14ac:dyDescent="0.25">
      <c r="A3" s="1" t="str">
        <f>Линейный!A3</f>
        <v>Простая линейная регрессия в MS EXCEL</v>
      </c>
      <c r="B3" s="1"/>
      <c r="C3" s="1"/>
      <c r="D3" s="1"/>
      <c r="E3" s="1"/>
      <c r="F3" s="1"/>
      <c r="G3" s="1"/>
      <c r="H3" s="1"/>
      <c r="J3" s="101" t="s">
        <v>154</v>
      </c>
    </row>
    <row r="4" spans="1:13" ht="15.75" x14ac:dyDescent="0.25">
      <c r="A4" s="12" t="s">
        <v>156</v>
      </c>
      <c r="B4" s="12"/>
      <c r="C4" s="12"/>
      <c r="D4" s="12"/>
      <c r="E4" s="12"/>
      <c r="F4" s="12"/>
      <c r="G4" s="12"/>
      <c r="H4" s="12"/>
      <c r="J4" s="102" t="s">
        <v>155</v>
      </c>
    </row>
    <row r="5" spans="1:13" x14ac:dyDescent="0.25">
      <c r="J5" s="101" t="s">
        <v>163</v>
      </c>
    </row>
    <row r="6" spans="1:13" x14ac:dyDescent="0.25">
      <c r="M6" s="4"/>
    </row>
    <row r="9" spans="1:13" x14ac:dyDescent="0.25">
      <c r="K9" s="4"/>
      <c r="L9" s="4"/>
      <c r="M9" s="4"/>
    </row>
    <row r="10" spans="1:13" x14ac:dyDescent="0.25">
      <c r="C10" s="28" t="s">
        <v>161</v>
      </c>
      <c r="D10" s="33"/>
      <c r="J10" s="103"/>
      <c r="K10" s="105" t="s">
        <v>157</v>
      </c>
      <c r="M10" s="4"/>
    </row>
    <row r="11" spans="1:13" x14ac:dyDescent="0.25">
      <c r="A11" s="85" t="s">
        <v>27</v>
      </c>
      <c r="B11" s="107" t="s">
        <v>162</v>
      </c>
      <c r="C11" s="106"/>
      <c r="D11" s="86" t="s">
        <v>26</v>
      </c>
      <c r="E11" s="4"/>
      <c r="F11" s="30" t="s">
        <v>29</v>
      </c>
      <c r="G11" s="29"/>
      <c r="J11" s="24" t="s">
        <v>158</v>
      </c>
      <c r="K11" s="24" t="s">
        <v>159</v>
      </c>
      <c r="L11" s="104" t="s">
        <v>160</v>
      </c>
      <c r="M11" s="4"/>
    </row>
    <row r="12" spans="1:13" x14ac:dyDescent="0.25">
      <c r="A12" s="27">
        <v>1</v>
      </c>
      <c r="B12" s="9">
        <v>1</v>
      </c>
      <c r="C12" s="19">
        <f>Линейный!B23</f>
        <v>10</v>
      </c>
      <c r="D12" s="9">
        <f ca="1">Линейный!C23</f>
        <v>88.862866116531904</v>
      </c>
      <c r="E12" s="4"/>
      <c r="F12" s="28">
        <f t="array" ref="F12:G13">MMULT(TRANSPOSE(B12:C72),(B12:C72))</f>
        <v>61</v>
      </c>
      <c r="G12" s="28">
        <v>9760</v>
      </c>
      <c r="H12" s="4"/>
      <c r="J12" s="19">
        <f t="array" aca="1" ref="J12:J72" ca="1">MMULT(B12:C72,G24:G25)</f>
        <v>133.96130627792573</v>
      </c>
      <c r="K12" s="19">
        <f t="array" aca="1" ref="K12:K72" ca="1">MMULT(MMULT(MMULT(B12:C72,F16:G17),TRANSPOSE(B12:C72)),D12:D72)</f>
        <v>133.96130627792641</v>
      </c>
      <c r="M12" s="4"/>
    </row>
    <row r="13" spans="1:13" x14ac:dyDescent="0.25">
      <c r="A13" s="27">
        <v>2</v>
      </c>
      <c r="B13" s="9">
        <v>1</v>
      </c>
      <c r="C13" s="19">
        <f>Линейный!B24</f>
        <v>15</v>
      </c>
      <c r="D13" s="9">
        <f ca="1">Линейный!C24</f>
        <v>47.012388134725924</v>
      </c>
      <c r="E13" s="4"/>
      <c r="F13" s="28">
        <v>9760</v>
      </c>
      <c r="G13" s="28">
        <v>2034350</v>
      </c>
      <c r="H13" s="4"/>
      <c r="J13" s="19">
        <f ca="1"/>
        <v>148.87248015483294</v>
      </c>
      <c r="K13" s="19">
        <f ca="1"/>
        <v>148.87248015483351</v>
      </c>
      <c r="M13" s="4"/>
    </row>
    <row r="14" spans="1:13" x14ac:dyDescent="0.25">
      <c r="A14" s="27">
        <v>3</v>
      </c>
      <c r="B14" s="9">
        <v>1</v>
      </c>
      <c r="C14" s="19">
        <f>Линейный!B25</f>
        <v>20</v>
      </c>
      <c r="D14" s="9">
        <f ca="1">Линейный!C25</f>
        <v>251.1600380945527</v>
      </c>
      <c r="E14" s="4"/>
      <c r="J14" s="19">
        <f ca="1"/>
        <v>163.78365403174016</v>
      </c>
      <c r="K14" s="19">
        <f ca="1"/>
        <v>163.78365403174087</v>
      </c>
      <c r="M14" s="4"/>
    </row>
    <row r="15" spans="1:13" ht="17.25" x14ac:dyDescent="0.25">
      <c r="A15" s="27">
        <v>4</v>
      </c>
      <c r="B15" s="9">
        <v>1</v>
      </c>
      <c r="C15" s="19">
        <f>Линейный!B26</f>
        <v>25</v>
      </c>
      <c r="D15" s="9">
        <f ca="1">Линейный!C26</f>
        <v>30.963202117293292</v>
      </c>
      <c r="E15" s="4"/>
      <c r="F15" s="30" t="s">
        <v>30</v>
      </c>
      <c r="G15" s="29"/>
      <c r="J15" s="19">
        <f ca="1"/>
        <v>178.69482790864737</v>
      </c>
      <c r="K15" s="19">
        <f ca="1"/>
        <v>178.69482790864794</v>
      </c>
      <c r="M15" s="4"/>
    </row>
    <row r="16" spans="1:13" x14ac:dyDescent="0.25">
      <c r="A16" s="27">
        <v>5</v>
      </c>
      <c r="B16" s="9">
        <v>1</v>
      </c>
      <c r="C16" s="19">
        <f>Линейный!B27</f>
        <v>30</v>
      </c>
      <c r="D16" s="9">
        <f ca="1">Линейный!C27</f>
        <v>270.24676115036306</v>
      </c>
      <c r="E16" s="4"/>
      <c r="F16" s="9">
        <f t="array" ref="F16:G17">MINVERSE(F12:G13)</f>
        <v>7.054468535166579E-2</v>
      </c>
      <c r="G16" s="9">
        <v>-3.3844526705446848E-4</v>
      </c>
      <c r="J16" s="19">
        <f ca="1"/>
        <v>193.60600178555455</v>
      </c>
      <c r="K16" s="19">
        <f ca="1"/>
        <v>193.60600178555538</v>
      </c>
      <c r="M16" s="4"/>
    </row>
    <row r="17" spans="1:13" x14ac:dyDescent="0.25">
      <c r="A17" s="27">
        <v>6</v>
      </c>
      <c r="B17" s="9">
        <v>1</v>
      </c>
      <c r="C17" s="19">
        <f>Линейный!B28</f>
        <v>35</v>
      </c>
      <c r="D17" s="9">
        <f ca="1">Линейный!C28</f>
        <v>229.17210946189493</v>
      </c>
      <c r="E17" s="4"/>
      <c r="F17" s="9">
        <v>-3.3844526705446853E-4</v>
      </c>
      <c r="G17" s="9">
        <v>2.1152829190904283E-6</v>
      </c>
      <c r="J17" s="19">
        <f ca="1"/>
        <v>208.51717566246177</v>
      </c>
      <c r="K17" s="19">
        <f ca="1"/>
        <v>208.51717566246245</v>
      </c>
      <c r="M17" s="4"/>
    </row>
    <row r="18" spans="1:13" x14ac:dyDescent="0.25">
      <c r="A18" s="27">
        <v>7</v>
      </c>
      <c r="B18" s="9">
        <v>1</v>
      </c>
      <c r="C18" s="19">
        <f>Линейный!B29</f>
        <v>40</v>
      </c>
      <c r="D18" s="9">
        <f ca="1">Линейный!C29</f>
        <v>242.90035637162802</v>
      </c>
      <c r="E18" s="4"/>
      <c r="J18" s="19">
        <f ca="1"/>
        <v>223.42834953936898</v>
      </c>
      <c r="K18" s="19">
        <f ca="1"/>
        <v>223.42834953936946</v>
      </c>
      <c r="M18" s="4"/>
    </row>
    <row r="19" spans="1:13" x14ac:dyDescent="0.25">
      <c r="A19" s="27">
        <v>8</v>
      </c>
      <c r="B19" s="9">
        <v>1</v>
      </c>
      <c r="C19" s="19">
        <f>Линейный!B30</f>
        <v>45</v>
      </c>
      <c r="D19" s="9">
        <f ca="1">Линейный!C30</f>
        <v>290.80108472018736</v>
      </c>
      <c r="E19" s="4"/>
      <c r="F19" s="31" t="s">
        <v>31</v>
      </c>
      <c r="J19" s="19">
        <f ca="1"/>
        <v>238.33952341627617</v>
      </c>
      <c r="K19" s="19">
        <f ca="1"/>
        <v>238.33952341627679</v>
      </c>
      <c r="M19" s="4"/>
    </row>
    <row r="20" spans="1:13" x14ac:dyDescent="0.25">
      <c r="A20" s="27">
        <v>9</v>
      </c>
      <c r="B20" s="9">
        <v>1</v>
      </c>
      <c r="C20" s="19">
        <f>Линейный!B31</f>
        <v>50</v>
      </c>
      <c r="D20" s="9">
        <f ca="1">Линейный!C31</f>
        <v>424.80320299358942</v>
      </c>
      <c r="E20" s="4"/>
      <c r="F20" s="9">
        <f t="array" aca="1" ref="F20:F21" ca="1">MMULT(TRANSPOSE(B12:C72),(D12:D72))</f>
        <v>35459.08787769363</v>
      </c>
      <c r="J20" s="19">
        <f ca="1"/>
        <v>253.25069729318338</v>
      </c>
      <c r="K20" s="19">
        <f ca="1"/>
        <v>253.25069729318375</v>
      </c>
      <c r="M20" s="4"/>
    </row>
    <row r="21" spans="1:13" x14ac:dyDescent="0.25">
      <c r="A21" s="27">
        <v>10</v>
      </c>
      <c r="B21" s="9">
        <v>1</v>
      </c>
      <c r="C21" s="19">
        <f>Линейный!B32</f>
        <v>55</v>
      </c>
      <c r="D21" s="9">
        <f ca="1">Линейный!C32</f>
        <v>108.55373538466083</v>
      </c>
      <c r="E21" s="4"/>
      <c r="F21" s="9">
        <f ca="1"/>
        <v>7083305.5504925568</v>
      </c>
      <c r="J21" s="19">
        <f ca="1"/>
        <v>268.16187117009059</v>
      </c>
      <c r="K21" s="19">
        <f ca="1"/>
        <v>268.16187117009133</v>
      </c>
      <c r="M21" s="4"/>
    </row>
    <row r="22" spans="1:13" x14ac:dyDescent="0.25">
      <c r="A22" s="27">
        <v>11</v>
      </c>
      <c r="B22" s="9">
        <v>1</v>
      </c>
      <c r="C22" s="19">
        <f>Линейный!B33</f>
        <v>60</v>
      </c>
      <c r="D22" s="9">
        <f ca="1">Линейный!C33</f>
        <v>233.1170475684809</v>
      </c>
      <c r="E22" s="4"/>
      <c r="J22" s="19">
        <f ca="1"/>
        <v>283.07304504699778</v>
      </c>
      <c r="K22" s="19">
        <f ca="1"/>
        <v>283.07304504699823</v>
      </c>
      <c r="M22" s="4"/>
    </row>
    <row r="23" spans="1:13" ht="17.25" x14ac:dyDescent="0.25">
      <c r="A23" s="27">
        <v>12</v>
      </c>
      <c r="B23" s="9">
        <v>1</v>
      </c>
      <c r="C23" s="19">
        <f>Линейный!B34</f>
        <v>65</v>
      </c>
      <c r="D23" s="9">
        <f ca="1">Линейный!C34</f>
        <v>330.62913344803286</v>
      </c>
      <c r="E23" s="4"/>
      <c r="F23" s="32" t="s">
        <v>5</v>
      </c>
      <c r="G23" s="24" t="s">
        <v>32</v>
      </c>
      <c r="H23" s="24" t="s">
        <v>135</v>
      </c>
      <c r="J23" s="19">
        <f ca="1"/>
        <v>297.98421892390502</v>
      </c>
      <c r="K23" s="19">
        <f ca="1"/>
        <v>297.98421892390547</v>
      </c>
      <c r="M23" s="4"/>
    </row>
    <row r="24" spans="1:13" x14ac:dyDescent="0.25">
      <c r="A24" s="27">
        <v>13</v>
      </c>
      <c r="B24" s="9">
        <v>1</v>
      </c>
      <c r="C24" s="19">
        <f>Линейный!B35</f>
        <v>70</v>
      </c>
      <c r="D24" s="9">
        <f ca="1">Линейный!C35</f>
        <v>361.11444224548211</v>
      </c>
      <c r="E24" s="4"/>
      <c r="F24" s="27" t="s">
        <v>5</v>
      </c>
      <c r="G24" s="19">
        <f t="array" aca="1" ref="G24:G25" ca="1">MMULT(F16:G17,F20:F21)</f>
        <v>104.13895852411133</v>
      </c>
      <c r="H24" s="19">
        <f ca="1">Линейный!B18</f>
        <v>104.13895852411144</v>
      </c>
      <c r="J24" s="19">
        <f ca="1"/>
        <v>312.8953928008122</v>
      </c>
      <c r="K24" s="19">
        <f ca="1"/>
        <v>312.89539280081271</v>
      </c>
      <c r="M24" s="4"/>
    </row>
    <row r="25" spans="1:13" x14ac:dyDescent="0.25">
      <c r="A25" s="27">
        <v>14</v>
      </c>
      <c r="B25" s="9">
        <v>1</v>
      </c>
      <c r="C25" s="19">
        <f>Линейный!B36</f>
        <v>75</v>
      </c>
      <c r="D25" s="9">
        <f ca="1">Линейный!C36</f>
        <v>201.19328043559568</v>
      </c>
      <c r="E25" s="4"/>
      <c r="F25" s="27" t="s">
        <v>28</v>
      </c>
      <c r="G25" s="19">
        <f ca="1"/>
        <v>2.9822347753814409</v>
      </c>
      <c r="H25" s="19">
        <f ca="1">Линейный!B17</f>
        <v>2.9822347753814378</v>
      </c>
      <c r="J25" s="19">
        <f ca="1"/>
        <v>327.80656667771939</v>
      </c>
      <c r="K25" s="19">
        <f ca="1"/>
        <v>327.80656667772007</v>
      </c>
      <c r="M25" s="4"/>
    </row>
    <row r="26" spans="1:13" x14ac:dyDescent="0.25">
      <c r="A26" s="27">
        <v>15</v>
      </c>
      <c r="B26" s="9">
        <v>1</v>
      </c>
      <c r="C26" s="19">
        <f>Линейный!B37</f>
        <v>80</v>
      </c>
      <c r="D26" s="9">
        <f ca="1">Линейный!C37</f>
        <v>464.07140961706824</v>
      </c>
      <c r="E26" s="4"/>
      <c r="J26" s="19">
        <f ca="1"/>
        <v>342.71774055462663</v>
      </c>
      <c r="K26" s="19">
        <f ca="1"/>
        <v>342.71774055462697</v>
      </c>
      <c r="M26" s="4"/>
    </row>
    <row r="27" spans="1:13" x14ac:dyDescent="0.25">
      <c r="A27" s="27">
        <v>16</v>
      </c>
      <c r="B27" s="9">
        <v>1</v>
      </c>
      <c r="C27" s="19">
        <f>Линейный!B38</f>
        <v>85</v>
      </c>
      <c r="D27" s="9">
        <f ca="1">Линейный!C38</f>
        <v>579.14685415480631</v>
      </c>
      <c r="E27" s="4"/>
      <c r="J27" s="19">
        <f ca="1"/>
        <v>357.62891443153381</v>
      </c>
      <c r="K27" s="19">
        <f ca="1"/>
        <v>357.62891443153433</v>
      </c>
      <c r="M27" s="4"/>
    </row>
    <row r="28" spans="1:13" x14ac:dyDescent="0.25">
      <c r="A28" s="27">
        <v>17</v>
      </c>
      <c r="B28" s="9">
        <v>1</v>
      </c>
      <c r="C28" s="19">
        <f>Линейный!B39</f>
        <v>90</v>
      </c>
      <c r="D28" s="9">
        <f ca="1">Линейный!C39</f>
        <v>635.24920972038785</v>
      </c>
      <c r="E28" s="4"/>
      <c r="J28" s="19">
        <f ca="1"/>
        <v>372.540088308441</v>
      </c>
      <c r="K28" s="19">
        <f ca="1"/>
        <v>372.54008830844134</v>
      </c>
      <c r="M28" s="4"/>
    </row>
    <row r="29" spans="1:13" x14ac:dyDescent="0.25">
      <c r="A29" s="27">
        <v>18</v>
      </c>
      <c r="B29" s="9">
        <v>1</v>
      </c>
      <c r="C29" s="19">
        <f>Линейный!B40</f>
        <v>95</v>
      </c>
      <c r="D29" s="9">
        <f ca="1">Линейный!C40</f>
        <v>283.76598217248187</v>
      </c>
      <c r="E29" s="4"/>
      <c r="J29" s="19">
        <f ca="1"/>
        <v>387.45126218534824</v>
      </c>
      <c r="K29" s="19">
        <f ca="1"/>
        <v>387.45126218534853</v>
      </c>
      <c r="M29" s="4"/>
    </row>
    <row r="30" spans="1:13" x14ac:dyDescent="0.25">
      <c r="A30" s="27">
        <v>19</v>
      </c>
      <c r="B30" s="9">
        <v>1</v>
      </c>
      <c r="C30" s="19">
        <f>Линейный!B41</f>
        <v>100</v>
      </c>
      <c r="D30" s="9">
        <f ca="1">Линейный!C41</f>
        <v>602.82209872923488</v>
      </c>
      <c r="E30" s="4"/>
      <c r="F30" s="25" t="s">
        <v>33</v>
      </c>
      <c r="J30" s="19">
        <f ca="1"/>
        <v>402.36243606225543</v>
      </c>
      <c r="K30" s="19">
        <f ca="1"/>
        <v>402.36243606225571</v>
      </c>
      <c r="M30" s="4"/>
    </row>
    <row r="31" spans="1:13" ht="17.25" x14ac:dyDescent="0.25">
      <c r="A31" s="27">
        <v>20</v>
      </c>
      <c r="B31" s="9">
        <v>1</v>
      </c>
      <c r="C31" s="19">
        <f>Линейный!B42</f>
        <v>105</v>
      </c>
      <c r="D31" s="9">
        <f ca="1">Линейный!C42</f>
        <v>291.03991466733356</v>
      </c>
      <c r="E31" s="4"/>
      <c r="F31" s="32" t="s">
        <v>5</v>
      </c>
      <c r="G31" s="24" t="s">
        <v>32</v>
      </c>
      <c r="J31" s="19">
        <f ca="1"/>
        <v>417.27360993916261</v>
      </c>
      <c r="K31" s="19">
        <f ca="1"/>
        <v>417.27360993916301</v>
      </c>
      <c r="M31" s="4"/>
    </row>
    <row r="32" spans="1:13" x14ac:dyDescent="0.25">
      <c r="A32" s="27">
        <v>21</v>
      </c>
      <c r="B32" s="9">
        <v>1</v>
      </c>
      <c r="C32" s="19">
        <f>Линейный!B43</f>
        <v>110</v>
      </c>
      <c r="D32" s="9">
        <f ca="1">Линейный!C43</f>
        <v>281.16893742305444</v>
      </c>
      <c r="E32" s="4"/>
      <c r="F32" s="27" t="s">
        <v>5</v>
      </c>
      <c r="G32" s="19">
        <f t="array" aca="1" ref="G32:G33" ca="1">MMULT(MINVERSE(MMULT(TRANSPOSE(B12:C72),(B12:C72))),MMULT(TRANSPOSE(B12:C72),(D12:D72)))</f>
        <v>104.13895852411133</v>
      </c>
      <c r="J32" s="19">
        <f ca="1"/>
        <v>432.18478381606985</v>
      </c>
      <c r="K32" s="19">
        <f ca="1"/>
        <v>432.18478381607014</v>
      </c>
      <c r="M32" s="4"/>
    </row>
    <row r="33" spans="1:13" x14ac:dyDescent="0.25">
      <c r="A33" s="27">
        <v>22</v>
      </c>
      <c r="B33" s="9">
        <v>1</v>
      </c>
      <c r="C33" s="19">
        <f>Линейный!B44</f>
        <v>115</v>
      </c>
      <c r="D33" s="9">
        <f ca="1">Линейный!C44</f>
        <v>352.14079198089843</v>
      </c>
      <c r="E33" s="4"/>
      <c r="F33" s="27" t="s">
        <v>28</v>
      </c>
      <c r="G33" s="19">
        <f ca="1"/>
        <v>2.9822347753814409</v>
      </c>
      <c r="J33" s="19">
        <f ca="1"/>
        <v>447.09595769297704</v>
      </c>
      <c r="K33" s="19">
        <f ca="1"/>
        <v>447.09595769297744</v>
      </c>
      <c r="M33" s="4"/>
    </row>
    <row r="34" spans="1:13" x14ac:dyDescent="0.25">
      <c r="A34" s="27">
        <v>23</v>
      </c>
      <c r="B34" s="9">
        <v>1</v>
      </c>
      <c r="C34" s="19">
        <f>Линейный!B45</f>
        <v>120</v>
      </c>
      <c r="D34" s="9">
        <f ca="1">Линейный!C45</f>
        <v>422.03767174040337</v>
      </c>
      <c r="E34" s="4"/>
      <c r="F34" s="4"/>
      <c r="J34" s="19">
        <f ca="1"/>
        <v>462.00713156988422</v>
      </c>
      <c r="K34" s="19">
        <f ca="1"/>
        <v>462.00713156988479</v>
      </c>
      <c r="M34" s="4"/>
    </row>
    <row r="35" spans="1:13" x14ac:dyDescent="0.25">
      <c r="A35" s="27">
        <v>24</v>
      </c>
      <c r="B35" s="9">
        <v>1</v>
      </c>
      <c r="C35" s="19">
        <f>Линейный!B46</f>
        <v>125</v>
      </c>
      <c r="D35" s="9">
        <f ca="1">Линейный!C46</f>
        <v>266.48600516068632</v>
      </c>
      <c r="E35" s="4"/>
      <c r="F35" s="4"/>
      <c r="J35" s="19">
        <f ca="1"/>
        <v>476.91830544679146</v>
      </c>
      <c r="K35" s="19">
        <f ca="1"/>
        <v>476.91830544679163</v>
      </c>
      <c r="M35" s="4"/>
    </row>
    <row r="36" spans="1:13" x14ac:dyDescent="0.25">
      <c r="A36" s="27">
        <v>25</v>
      </c>
      <c r="B36" s="9">
        <v>1</v>
      </c>
      <c r="C36" s="19">
        <f>Линейный!B47</f>
        <v>130</v>
      </c>
      <c r="D36" s="9">
        <f ca="1">Линейный!C47</f>
        <v>548.90950918538545</v>
      </c>
      <c r="E36" s="4"/>
      <c r="F36" s="4"/>
      <c r="J36" s="19">
        <f ca="1"/>
        <v>491.82947932369865</v>
      </c>
      <c r="K36" s="19">
        <f ca="1"/>
        <v>491.82947932369916</v>
      </c>
      <c r="M36" s="4"/>
    </row>
    <row r="37" spans="1:13" x14ac:dyDescent="0.25">
      <c r="A37" s="27">
        <v>26</v>
      </c>
      <c r="B37" s="9">
        <v>1</v>
      </c>
      <c r="C37" s="19">
        <f>Линейный!B48</f>
        <v>135</v>
      </c>
      <c r="D37" s="9">
        <f ca="1">Линейный!C48</f>
        <v>558.87248347608931</v>
      </c>
      <c r="E37" s="4"/>
      <c r="F37" s="4"/>
      <c r="J37" s="19">
        <f ca="1"/>
        <v>506.74065320060583</v>
      </c>
      <c r="K37" s="19">
        <f ca="1"/>
        <v>506.740653200606</v>
      </c>
      <c r="L37" s="4"/>
      <c r="M37" s="4"/>
    </row>
    <row r="38" spans="1:13" x14ac:dyDescent="0.25">
      <c r="A38" s="27">
        <v>27</v>
      </c>
      <c r="B38" s="9">
        <v>1</v>
      </c>
      <c r="C38" s="19">
        <f>Линейный!B49</f>
        <v>140</v>
      </c>
      <c r="D38" s="9">
        <f ca="1">Линейный!C49</f>
        <v>339.9731507992521</v>
      </c>
      <c r="E38" s="4"/>
      <c r="F38" s="4"/>
      <c r="G38" s="4"/>
      <c r="H38" s="4"/>
      <c r="I38" s="4"/>
      <c r="J38" s="19">
        <f ca="1"/>
        <v>521.65182707751308</v>
      </c>
      <c r="K38" s="19">
        <f ca="1"/>
        <v>521.6518270775133</v>
      </c>
      <c r="L38" s="4"/>
      <c r="M38" s="4"/>
    </row>
    <row r="39" spans="1:13" x14ac:dyDescent="0.25">
      <c r="A39" s="27">
        <v>28</v>
      </c>
      <c r="B39" s="9">
        <v>1</v>
      </c>
      <c r="C39" s="19">
        <f>Линейный!B50</f>
        <v>145</v>
      </c>
      <c r="D39" s="9">
        <f ca="1">Линейный!C50</f>
        <v>596.59088413494931</v>
      </c>
      <c r="E39" s="4"/>
      <c r="F39" s="4"/>
      <c r="G39" s="4"/>
      <c r="H39" s="4"/>
      <c r="I39" s="4"/>
      <c r="J39" s="19">
        <f ca="1"/>
        <v>536.5630009544202</v>
      </c>
      <c r="K39" s="19">
        <f ca="1"/>
        <v>536.56300095442054</v>
      </c>
      <c r="L39" s="4"/>
      <c r="M39" s="4"/>
    </row>
    <row r="40" spans="1:13" x14ac:dyDescent="0.25">
      <c r="A40" s="27">
        <v>29</v>
      </c>
      <c r="B40" s="9">
        <v>1</v>
      </c>
      <c r="C40" s="19">
        <f>Линейный!B51</f>
        <v>150</v>
      </c>
      <c r="D40" s="9">
        <f ca="1">Линейный!C51</f>
        <v>513.4879363511136</v>
      </c>
      <c r="E40" s="4"/>
      <c r="F40" s="4"/>
      <c r="G40" s="4"/>
      <c r="H40" s="4"/>
      <c r="I40" s="4"/>
      <c r="J40" s="19">
        <f ca="1"/>
        <v>551.47417483132745</v>
      </c>
      <c r="K40" s="19">
        <f ca="1"/>
        <v>551.47417483132756</v>
      </c>
      <c r="L40" s="4"/>
      <c r="M40" s="4"/>
    </row>
    <row r="41" spans="1:13" x14ac:dyDescent="0.25">
      <c r="A41" s="27">
        <v>30</v>
      </c>
      <c r="B41" s="9">
        <v>1</v>
      </c>
      <c r="C41" s="19">
        <f>Линейный!B52</f>
        <v>155</v>
      </c>
      <c r="D41" s="9">
        <f ca="1">Линейный!C52</f>
        <v>554.79239448578187</v>
      </c>
      <c r="E41" s="4"/>
      <c r="F41" s="4"/>
      <c r="G41" s="4"/>
      <c r="H41" s="4"/>
      <c r="I41" s="4"/>
      <c r="J41" s="19">
        <f ca="1"/>
        <v>566.38534870823469</v>
      </c>
      <c r="K41" s="19">
        <f ca="1"/>
        <v>566.3853487082348</v>
      </c>
      <c r="L41" s="4"/>
      <c r="M41" s="4"/>
    </row>
    <row r="42" spans="1:13" x14ac:dyDescent="0.25">
      <c r="A42" s="27">
        <v>31</v>
      </c>
      <c r="B42" s="9">
        <v>1</v>
      </c>
      <c r="C42" s="19">
        <f>Линейный!B53</f>
        <v>160</v>
      </c>
      <c r="D42" s="9">
        <f ca="1">Линейный!C53</f>
        <v>700.57148061705107</v>
      </c>
      <c r="E42" s="4"/>
      <c r="F42" s="4"/>
      <c r="J42" s="19">
        <f ca="1"/>
        <v>581.29652258514193</v>
      </c>
      <c r="K42" s="19">
        <f ca="1"/>
        <v>581.29652258514193</v>
      </c>
      <c r="L42" s="4"/>
      <c r="M42" s="4"/>
    </row>
    <row r="43" spans="1:13" x14ac:dyDescent="0.25">
      <c r="A43" s="27">
        <v>32</v>
      </c>
      <c r="B43" s="9">
        <v>1</v>
      </c>
      <c r="C43" s="19">
        <f>Линейный!B54</f>
        <v>165</v>
      </c>
      <c r="D43" s="9">
        <f ca="1">Линейный!C54</f>
        <v>455.76783337792227</v>
      </c>
      <c r="E43" s="4"/>
      <c r="F43" s="4"/>
      <c r="J43" s="19">
        <f ca="1"/>
        <v>596.20769646204906</v>
      </c>
      <c r="K43" s="19">
        <f ca="1"/>
        <v>596.20769646204917</v>
      </c>
      <c r="L43" s="4"/>
      <c r="M43" s="4"/>
    </row>
    <row r="44" spans="1:13" x14ac:dyDescent="0.25">
      <c r="A44" s="27">
        <v>33</v>
      </c>
      <c r="B44" s="9">
        <v>1</v>
      </c>
      <c r="C44" s="19">
        <f>Линейный!B55</f>
        <v>170</v>
      </c>
      <c r="D44" s="9">
        <f ca="1">Линейный!C55</f>
        <v>384.52223829680088</v>
      </c>
      <c r="E44" s="4"/>
      <c r="F44" s="4"/>
      <c r="J44" s="19">
        <f ca="1"/>
        <v>611.1188703389563</v>
      </c>
      <c r="K44" s="19">
        <f ca="1"/>
        <v>611.1188703389563</v>
      </c>
      <c r="L44" s="4"/>
      <c r="M44" s="4"/>
    </row>
    <row r="45" spans="1:13" x14ac:dyDescent="0.25">
      <c r="A45" s="27">
        <v>34</v>
      </c>
      <c r="B45" s="9">
        <v>1</v>
      </c>
      <c r="C45" s="19">
        <f>Линейный!B56</f>
        <v>175</v>
      </c>
      <c r="D45" s="9">
        <f ca="1">Линейный!C56</f>
        <v>709.78086270173287</v>
      </c>
      <c r="E45" s="4"/>
      <c r="F45" s="4"/>
      <c r="J45" s="19">
        <f ca="1"/>
        <v>626.03004421586354</v>
      </c>
      <c r="K45" s="19">
        <f ca="1"/>
        <v>626.03004421586354</v>
      </c>
      <c r="L45" s="4"/>
      <c r="M45" s="4"/>
    </row>
    <row r="46" spans="1:13" x14ac:dyDescent="0.25">
      <c r="A46" s="27">
        <v>35</v>
      </c>
      <c r="B46" s="9">
        <v>1</v>
      </c>
      <c r="C46" s="19">
        <f>Линейный!B57</f>
        <v>180</v>
      </c>
      <c r="D46" s="9">
        <f ca="1">Линейный!C57</f>
        <v>645.06089653585798</v>
      </c>
      <c r="E46" s="4"/>
      <c r="F46" s="4"/>
      <c r="J46" s="19">
        <f ca="1"/>
        <v>640.94121809277067</v>
      </c>
      <c r="K46" s="19">
        <f ca="1"/>
        <v>640.94121809277078</v>
      </c>
      <c r="L46" s="4"/>
      <c r="M46" s="4"/>
    </row>
    <row r="47" spans="1:13" x14ac:dyDescent="0.25">
      <c r="A47" s="27">
        <v>36</v>
      </c>
      <c r="B47" s="9">
        <v>1</v>
      </c>
      <c r="C47" s="19">
        <f>Линейный!B58</f>
        <v>185</v>
      </c>
      <c r="D47" s="9">
        <f ca="1">Линейный!C58</f>
        <v>788.99356300623583</v>
      </c>
      <c r="E47" s="4"/>
      <c r="F47" s="4"/>
      <c r="J47" s="19">
        <f ca="1"/>
        <v>655.85239196967791</v>
      </c>
      <c r="K47" s="19">
        <f ca="1"/>
        <v>655.85239196967814</v>
      </c>
      <c r="L47" s="4"/>
      <c r="M47" s="4"/>
    </row>
    <row r="48" spans="1:13" x14ac:dyDescent="0.25">
      <c r="A48" s="27">
        <v>37</v>
      </c>
      <c r="B48" s="9">
        <v>1</v>
      </c>
      <c r="C48" s="19">
        <f>Линейный!B59</f>
        <v>190</v>
      </c>
      <c r="D48" s="9">
        <f ca="1">Линейный!C59</f>
        <v>834.13986449241963</v>
      </c>
      <c r="E48" s="4"/>
      <c r="F48" s="4"/>
      <c r="J48" s="19">
        <f ca="1"/>
        <v>670.76356584658515</v>
      </c>
      <c r="K48" s="19">
        <f ca="1"/>
        <v>670.76356584658538</v>
      </c>
      <c r="L48" s="4"/>
      <c r="M48" s="4"/>
    </row>
    <row r="49" spans="1:13" x14ac:dyDescent="0.25">
      <c r="A49" s="27">
        <v>38</v>
      </c>
      <c r="B49" s="9">
        <v>1</v>
      </c>
      <c r="C49" s="19">
        <f>Линейный!B60</f>
        <v>195</v>
      </c>
      <c r="D49" s="9">
        <f ca="1">Линейный!C60</f>
        <v>668.44035408557806</v>
      </c>
      <c r="E49" s="4"/>
      <c r="F49" s="4"/>
      <c r="J49" s="19">
        <f ca="1"/>
        <v>685.67473972349228</v>
      </c>
      <c r="K49" s="19">
        <f ca="1"/>
        <v>685.67473972349228</v>
      </c>
      <c r="L49" s="4"/>
      <c r="M49" s="4"/>
    </row>
    <row r="50" spans="1:13" x14ac:dyDescent="0.25">
      <c r="A50" s="27">
        <v>39</v>
      </c>
      <c r="B50" s="9">
        <v>1</v>
      </c>
      <c r="C50" s="19">
        <f>Линейный!B61</f>
        <v>200</v>
      </c>
      <c r="D50" s="9">
        <f ca="1">Линейный!C61</f>
        <v>584.27355527254156</v>
      </c>
      <c r="E50" s="4"/>
      <c r="F50" s="4"/>
      <c r="J50" s="19">
        <f ca="1"/>
        <v>700.58591360039952</v>
      </c>
      <c r="K50" s="19">
        <f ca="1"/>
        <v>700.58591360039952</v>
      </c>
      <c r="L50" s="4"/>
      <c r="M50" s="4"/>
    </row>
    <row r="51" spans="1:13" x14ac:dyDescent="0.25">
      <c r="A51" s="27">
        <v>40</v>
      </c>
      <c r="B51" s="9">
        <v>1</v>
      </c>
      <c r="C51" s="19">
        <f>Линейный!B62</f>
        <v>205</v>
      </c>
      <c r="D51" s="9">
        <f ca="1">Линейный!C62</f>
        <v>848.51080810791882</v>
      </c>
      <c r="E51" s="4"/>
      <c r="F51" s="4"/>
      <c r="J51" s="19">
        <f ca="1"/>
        <v>715.49708747730676</v>
      </c>
      <c r="K51" s="19">
        <f ca="1"/>
        <v>715.49708747730676</v>
      </c>
      <c r="L51" s="4"/>
      <c r="M51" s="4"/>
    </row>
    <row r="52" spans="1:13" x14ac:dyDescent="0.25">
      <c r="A52" s="27">
        <v>41</v>
      </c>
      <c r="B52" s="9">
        <v>1</v>
      </c>
      <c r="C52" s="19">
        <f>Линейный!B63</f>
        <v>210</v>
      </c>
      <c r="D52" s="9">
        <f ca="1">Линейный!C63</f>
        <v>580.45948012044073</v>
      </c>
      <c r="E52" s="4"/>
      <c r="F52" s="4"/>
      <c r="J52" s="19">
        <f ca="1"/>
        <v>730.40826135421389</v>
      </c>
      <c r="K52" s="19">
        <f ca="1"/>
        <v>730.40826135421366</v>
      </c>
      <c r="L52" s="4"/>
      <c r="M52" s="4"/>
    </row>
    <row r="53" spans="1:13" x14ac:dyDescent="0.25">
      <c r="A53" s="27">
        <v>42</v>
      </c>
      <c r="B53" s="9">
        <v>1</v>
      </c>
      <c r="C53" s="19">
        <f>Линейный!B64</f>
        <v>215</v>
      </c>
      <c r="D53" s="9">
        <f ca="1">Линейный!C64</f>
        <v>756.59519960871262</v>
      </c>
      <c r="E53" s="4"/>
      <c r="F53" s="4"/>
      <c r="J53" s="19">
        <f ca="1"/>
        <v>745.31943523112113</v>
      </c>
      <c r="K53" s="19">
        <f ca="1"/>
        <v>745.31943523112125</v>
      </c>
      <c r="L53" s="4"/>
      <c r="M53" s="4"/>
    </row>
    <row r="54" spans="1:13" x14ac:dyDescent="0.25">
      <c r="A54" s="27">
        <v>43</v>
      </c>
      <c r="B54" s="9">
        <v>1</v>
      </c>
      <c r="C54" s="19">
        <f>Линейный!B65</f>
        <v>220</v>
      </c>
      <c r="D54" s="9">
        <f ca="1">Линейный!C65</f>
        <v>894.39362383638024</v>
      </c>
      <c r="E54" s="4"/>
      <c r="F54" s="4"/>
      <c r="J54" s="19">
        <f ca="1"/>
        <v>760.23060910802837</v>
      </c>
      <c r="K54" s="19">
        <f ca="1"/>
        <v>760.23060910802837</v>
      </c>
      <c r="L54" s="4"/>
      <c r="M54" s="4"/>
    </row>
    <row r="55" spans="1:13" x14ac:dyDescent="0.25">
      <c r="A55" s="27">
        <v>44</v>
      </c>
      <c r="B55" s="9">
        <v>1</v>
      </c>
      <c r="C55" s="19">
        <f>Линейный!B66</f>
        <v>225</v>
      </c>
      <c r="D55" s="9">
        <f ca="1">Линейный!C66</f>
        <v>838.03161073585773</v>
      </c>
      <c r="E55" s="4"/>
      <c r="F55" s="4"/>
      <c r="J55" s="19">
        <f ca="1"/>
        <v>775.1417829849355</v>
      </c>
      <c r="K55" s="19">
        <f ca="1"/>
        <v>775.14178298493539</v>
      </c>
      <c r="L55" s="4"/>
      <c r="M55" s="4"/>
    </row>
    <row r="56" spans="1:13" x14ac:dyDescent="0.25">
      <c r="A56" s="27">
        <v>45</v>
      </c>
      <c r="B56" s="9">
        <v>1</v>
      </c>
      <c r="C56" s="19">
        <f>Линейный!B67</f>
        <v>230</v>
      </c>
      <c r="D56" s="9">
        <f ca="1">Линейный!C67</f>
        <v>648.69205528562088</v>
      </c>
      <c r="E56" s="4"/>
      <c r="F56" s="4"/>
      <c r="J56" s="19">
        <f ca="1"/>
        <v>790.05295686184274</v>
      </c>
      <c r="K56" s="19">
        <f ca="1"/>
        <v>790.05295686184263</v>
      </c>
      <c r="L56" s="4"/>
      <c r="M56" s="4"/>
    </row>
    <row r="57" spans="1:13" x14ac:dyDescent="0.25">
      <c r="A57" s="27">
        <v>46</v>
      </c>
      <c r="B57" s="9">
        <v>1</v>
      </c>
      <c r="C57" s="19">
        <f>Линейный!B68</f>
        <v>235</v>
      </c>
      <c r="D57" s="9">
        <f ca="1">Линейный!C68</f>
        <v>836.47727533980685</v>
      </c>
      <c r="E57" s="4"/>
      <c r="F57" s="4"/>
      <c r="J57" s="19">
        <f ca="1"/>
        <v>804.96413073874999</v>
      </c>
      <c r="K57" s="19">
        <f ca="1"/>
        <v>804.96413073874999</v>
      </c>
    </row>
    <row r="58" spans="1:13" x14ac:dyDescent="0.25">
      <c r="A58" s="27">
        <v>47</v>
      </c>
      <c r="B58" s="9">
        <v>1</v>
      </c>
      <c r="C58" s="19">
        <f>Линейный!B69</f>
        <v>240</v>
      </c>
      <c r="D58" s="9">
        <f ca="1">Линейный!C69</f>
        <v>762.69879582195415</v>
      </c>
      <c r="E58" s="4"/>
      <c r="F58" s="4"/>
      <c r="J58" s="19">
        <f ca="1"/>
        <v>819.87530461565711</v>
      </c>
      <c r="K58" s="19">
        <f ca="1"/>
        <v>819.87530461565689</v>
      </c>
    </row>
    <row r="59" spans="1:13" x14ac:dyDescent="0.25">
      <c r="A59" s="27">
        <v>48</v>
      </c>
      <c r="B59" s="9">
        <v>1</v>
      </c>
      <c r="C59" s="19">
        <f>Линейный!B70</f>
        <v>245</v>
      </c>
      <c r="D59" s="9">
        <f ca="1">Линейный!C70</f>
        <v>605.56832095296068</v>
      </c>
      <c r="E59" s="4"/>
      <c r="F59" s="4"/>
      <c r="J59" s="19">
        <f ca="1"/>
        <v>834.78647849256436</v>
      </c>
      <c r="K59" s="19">
        <f ca="1"/>
        <v>834.78647849256424</v>
      </c>
    </row>
    <row r="60" spans="1:13" x14ac:dyDescent="0.25">
      <c r="A60" s="27">
        <v>49</v>
      </c>
      <c r="B60" s="9">
        <v>1</v>
      </c>
      <c r="C60" s="19">
        <f>Линейный!B71</f>
        <v>250</v>
      </c>
      <c r="D60" s="9">
        <f ca="1">Линейный!C71</f>
        <v>840.11456726199037</v>
      </c>
      <c r="E60" s="4"/>
      <c r="F60" s="4"/>
      <c r="J60" s="19">
        <f ca="1"/>
        <v>849.6976523694716</v>
      </c>
      <c r="K60" s="19">
        <f ca="1"/>
        <v>849.69765236947148</v>
      </c>
    </row>
    <row r="61" spans="1:13" x14ac:dyDescent="0.25">
      <c r="A61" s="27">
        <v>50</v>
      </c>
      <c r="B61" s="9">
        <v>1</v>
      </c>
      <c r="C61" s="19">
        <f>Линейный!B72</f>
        <v>255</v>
      </c>
      <c r="D61" s="9">
        <f ca="1">Линейный!C72</f>
        <v>955.88889979718965</v>
      </c>
      <c r="E61" s="4"/>
      <c r="F61" s="4"/>
      <c r="J61" s="19">
        <f ca="1"/>
        <v>864.60882624637873</v>
      </c>
      <c r="K61" s="19">
        <f ca="1"/>
        <v>864.60882624637838</v>
      </c>
    </row>
    <row r="62" spans="1:13" x14ac:dyDescent="0.25">
      <c r="A62" s="27">
        <v>51</v>
      </c>
      <c r="B62" s="9">
        <v>1</v>
      </c>
      <c r="C62" s="19">
        <f>Линейный!B73</f>
        <v>260</v>
      </c>
      <c r="D62" s="9">
        <f ca="1">Линейный!C73</f>
        <v>1011.4160022703484</v>
      </c>
      <c r="J62" s="19">
        <f ca="1"/>
        <v>879.52000012328597</v>
      </c>
      <c r="K62" s="19">
        <f ca="1"/>
        <v>879.52000012328574</v>
      </c>
    </row>
    <row r="63" spans="1:13" x14ac:dyDescent="0.25">
      <c r="A63" s="27">
        <v>52</v>
      </c>
      <c r="B63" s="9">
        <v>1</v>
      </c>
      <c r="C63" s="19">
        <f>Линейный!B74</f>
        <v>265</v>
      </c>
      <c r="D63" s="9">
        <f ca="1">Линейный!C74</f>
        <v>934.50202402706577</v>
      </c>
      <c r="J63" s="19">
        <f ca="1"/>
        <v>894.43117400019321</v>
      </c>
      <c r="K63" s="19">
        <f ca="1"/>
        <v>894.43117400019275</v>
      </c>
    </row>
    <row r="64" spans="1:13" x14ac:dyDescent="0.25">
      <c r="A64" s="27">
        <v>53</v>
      </c>
      <c r="B64" s="9">
        <v>1</v>
      </c>
      <c r="C64" s="19">
        <f>Линейный!B75</f>
        <v>270</v>
      </c>
      <c r="D64" s="9">
        <f ca="1">Линейный!C75</f>
        <v>969.95138694187892</v>
      </c>
      <c r="J64" s="19">
        <f ca="1"/>
        <v>909.34234787710034</v>
      </c>
      <c r="K64" s="19">
        <f ca="1"/>
        <v>909.34234787710022</v>
      </c>
    </row>
    <row r="65" spans="1:11" x14ac:dyDescent="0.25">
      <c r="A65" s="27">
        <v>54</v>
      </c>
      <c r="B65" s="9">
        <v>1</v>
      </c>
      <c r="C65" s="19">
        <f>Линейный!B76</f>
        <v>275</v>
      </c>
      <c r="D65" s="9">
        <f ca="1">Линейный!C76</f>
        <v>1066.2509626897208</v>
      </c>
      <c r="J65" s="19">
        <f ca="1"/>
        <v>924.25352175400758</v>
      </c>
      <c r="K65" s="19">
        <f ca="1"/>
        <v>924.25352175400735</v>
      </c>
    </row>
    <row r="66" spans="1:11" x14ac:dyDescent="0.25">
      <c r="A66" s="27">
        <v>55</v>
      </c>
      <c r="B66" s="9">
        <v>1</v>
      </c>
      <c r="C66" s="19">
        <f>Линейный!B77</f>
        <v>280</v>
      </c>
      <c r="D66" s="9">
        <f ca="1">Линейный!C77</f>
        <v>889.90470469977527</v>
      </c>
      <c r="J66" s="19">
        <f ca="1"/>
        <v>939.16469563091482</v>
      </c>
      <c r="K66" s="19">
        <f ca="1"/>
        <v>939.16469563091448</v>
      </c>
    </row>
    <row r="67" spans="1:11" x14ac:dyDescent="0.25">
      <c r="A67" s="27">
        <v>56</v>
      </c>
      <c r="B67" s="9">
        <v>1</v>
      </c>
      <c r="C67" s="19">
        <f>Линейный!B78</f>
        <v>285</v>
      </c>
      <c r="D67" s="9">
        <f ca="1">Линейный!C78</f>
        <v>1100.8815306674619</v>
      </c>
      <c r="J67" s="19">
        <f ca="1"/>
        <v>954.07586950782195</v>
      </c>
      <c r="K67" s="19">
        <f ca="1"/>
        <v>954.07586950782172</v>
      </c>
    </row>
    <row r="68" spans="1:11" x14ac:dyDescent="0.25">
      <c r="A68" s="27">
        <v>57</v>
      </c>
      <c r="B68" s="9">
        <v>1</v>
      </c>
      <c r="C68" s="19">
        <f>Линейный!B79</f>
        <v>290</v>
      </c>
      <c r="D68" s="9">
        <f ca="1">Линейный!C79</f>
        <v>833.08327843162147</v>
      </c>
      <c r="J68" s="19">
        <f ca="1"/>
        <v>968.98704338472919</v>
      </c>
      <c r="K68" s="19">
        <f ca="1"/>
        <v>968.98704338472908</v>
      </c>
    </row>
    <row r="69" spans="1:11" x14ac:dyDescent="0.25">
      <c r="A69" s="27">
        <v>58</v>
      </c>
      <c r="B69" s="9">
        <v>1</v>
      </c>
      <c r="C69" s="19">
        <f>Линейный!B80</f>
        <v>295</v>
      </c>
      <c r="D69" s="9">
        <f ca="1">Линейный!C80</f>
        <v>1158.4955453083955</v>
      </c>
      <c r="J69" s="19">
        <f ca="1"/>
        <v>983.89821726163643</v>
      </c>
      <c r="K69" s="19">
        <f ca="1"/>
        <v>983.89821726163598</v>
      </c>
    </row>
    <row r="70" spans="1:11" x14ac:dyDescent="0.25">
      <c r="A70" s="27">
        <v>59</v>
      </c>
      <c r="B70" s="9">
        <v>1</v>
      </c>
      <c r="C70" s="19">
        <f>Линейный!B81</f>
        <v>300</v>
      </c>
      <c r="D70" s="9">
        <f ca="1">Линейный!C81</f>
        <v>840.56547156471947</v>
      </c>
      <c r="J70" s="19">
        <f ca="1"/>
        <v>998.80939113854356</v>
      </c>
      <c r="K70" s="19">
        <f ca="1"/>
        <v>998.80939113854333</v>
      </c>
    </row>
    <row r="71" spans="1:11" x14ac:dyDescent="0.25">
      <c r="A71" s="27">
        <v>60</v>
      </c>
      <c r="B71" s="9">
        <v>1</v>
      </c>
      <c r="C71" s="19">
        <f>Линейный!B82</f>
        <v>305</v>
      </c>
      <c r="D71" s="9">
        <f ca="1">Линейный!C82</f>
        <v>725.07901592441374</v>
      </c>
      <c r="J71" s="19">
        <f ca="1"/>
        <v>1013.7205650154508</v>
      </c>
      <c r="K71" s="19">
        <f ca="1"/>
        <v>1013.7205650154505</v>
      </c>
    </row>
    <row r="72" spans="1:11" x14ac:dyDescent="0.25">
      <c r="A72" s="27">
        <v>61</v>
      </c>
      <c r="B72" s="9">
        <v>1</v>
      </c>
      <c r="C72" s="19">
        <f>Линейный!B83</f>
        <v>310</v>
      </c>
      <c r="D72" s="9">
        <f ca="1">Линейный!C83</f>
        <v>1188.8917878713116</v>
      </c>
      <c r="J72" s="19">
        <f ca="1"/>
        <v>1028.631738892358</v>
      </c>
      <c r="K72" s="19">
        <f ca="1"/>
        <v>1028.6317388923576</v>
      </c>
    </row>
  </sheetData>
  <hyperlinks>
    <hyperlink ref="A1:D1" r:id="rId1" display="Файл скачан с сайта excel2.ru &gt;&gt;&gt;"/>
    <hyperlink ref="L11" location="Линейный!E23" display="Совпадает с вычислениями на листе Прогноз"/>
    <hyperlink ref="A2" r:id="rId2"/>
    <hyperlink ref="H2" r:id="rId3" display="Задать вопрос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opLeftCell="D1" zoomScaleNormal="100" workbookViewId="0">
      <selection activeCell="G2" sqref="G2"/>
    </sheetView>
  </sheetViews>
  <sheetFormatPr defaultRowHeight="12.75" x14ac:dyDescent="0.2"/>
  <cols>
    <col min="1" max="1" width="18.85546875" style="4" customWidth="1"/>
    <col min="2" max="2" width="15.85546875" style="4" customWidth="1"/>
    <col min="3" max="3" width="8.42578125" style="4" customWidth="1"/>
    <col min="4" max="4" width="17" style="4" customWidth="1"/>
    <col min="5" max="5" width="15.85546875" style="4" customWidth="1"/>
    <col min="6" max="6" width="18.140625" style="4" customWidth="1"/>
    <col min="7" max="7" width="17.5703125" style="4" customWidth="1"/>
    <col min="8" max="8" width="13.5703125" style="4" customWidth="1"/>
    <col min="9" max="9" width="12" style="4" bestFit="1" customWidth="1"/>
    <col min="10" max="10" width="12.42578125" style="4" customWidth="1"/>
    <col min="11" max="11" width="11.42578125" style="4" customWidth="1"/>
    <col min="12" max="12" width="9.7109375" style="4" customWidth="1"/>
    <col min="13" max="14" width="8.140625" style="4" customWidth="1"/>
    <col min="15" max="15" width="9.140625" style="4" customWidth="1"/>
    <col min="16" max="16" width="9.42578125" style="4" customWidth="1"/>
    <col min="17" max="17" width="10" style="4" customWidth="1"/>
    <col min="18" max="26" width="8.140625" style="4" customWidth="1"/>
    <col min="27" max="259" width="9.140625" style="4"/>
    <col min="260" max="260" width="10" style="4" customWidth="1"/>
    <col min="261" max="16384" width="9.140625" style="4"/>
  </cols>
  <sheetData>
    <row r="1" spans="1:2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13" t="s">
        <v>0</v>
      </c>
      <c r="B2" s="2"/>
      <c r="C2" s="2"/>
      <c r="D2" s="2"/>
      <c r="E2" s="2"/>
      <c r="F2" s="2"/>
      <c r="G2" s="110" t="s">
        <v>176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2">
      <c r="A3" s="1" t="str">
        <f>Линейный!A3</f>
        <v>Простая линейная регрессия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2" t="s">
        <v>64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">
      <c r="V5" s="21"/>
    </row>
    <row r="6" spans="1:26" x14ac:dyDescent="0.2">
      <c r="A6" s="11" t="s">
        <v>137</v>
      </c>
      <c r="D6" s="10" t="s">
        <v>61</v>
      </c>
      <c r="E6" s="38"/>
      <c r="F6" s="38"/>
      <c r="G6" s="38"/>
    </row>
    <row r="7" spans="1:26" x14ac:dyDescent="0.2">
      <c r="A7" s="8" t="s">
        <v>14</v>
      </c>
      <c r="B7" s="8" t="s">
        <v>139</v>
      </c>
      <c r="D7" s="9" t="s">
        <v>54</v>
      </c>
      <c r="E7" s="14">
        <v>0.05</v>
      </c>
    </row>
    <row r="8" spans="1:26" x14ac:dyDescent="0.2">
      <c r="A8" s="9" t="s">
        <v>43</v>
      </c>
      <c r="B8" s="14">
        <v>2</v>
      </c>
      <c r="D8" s="9" t="s">
        <v>53</v>
      </c>
      <c r="E8" s="9">
        <f>E11-2</f>
        <v>59</v>
      </c>
    </row>
    <row r="9" spans="1:26" x14ac:dyDescent="0.2">
      <c r="A9" s="9" t="s">
        <v>44</v>
      </c>
      <c r="B9" s="14">
        <v>1000</v>
      </c>
      <c r="D9" s="9" t="s">
        <v>57</v>
      </c>
      <c r="E9" s="20">
        <f>_xlfn.T.INV.2T(E7,E8)</f>
        <v>2.0009953780882688</v>
      </c>
    </row>
    <row r="11" spans="1:26" x14ac:dyDescent="0.2">
      <c r="A11" s="9" t="s">
        <v>6</v>
      </c>
      <c r="B11" s="14">
        <v>400</v>
      </c>
      <c r="D11" s="8" t="s">
        <v>38</v>
      </c>
      <c r="E11" s="9">
        <f>COUNT(Xперемен)</f>
        <v>61</v>
      </c>
    </row>
    <row r="12" spans="1:26" x14ac:dyDescent="0.2">
      <c r="A12" s="9" t="s">
        <v>7</v>
      </c>
      <c r="B12" s="14">
        <v>10</v>
      </c>
      <c r="D12" s="18" t="s">
        <v>62</v>
      </c>
      <c r="E12" s="19">
        <f ca="1">INDEX(LINEST(Yперемен,Xперемен,,TRUE),3,2)</f>
        <v>473.60809588572272</v>
      </c>
      <c r="F12" s="19">
        <f ca="1">SQRT(SUMXMY2(C53:C113,D53:D113)/(E11-2))</f>
        <v>473.60809588572278</v>
      </c>
    </row>
    <row r="13" spans="1:26" x14ac:dyDescent="0.2">
      <c r="A13" s="9" t="s">
        <v>10</v>
      </c>
      <c r="B13" s="15">
        <f>COUNT(A53:A113)</f>
        <v>61</v>
      </c>
      <c r="D13" s="18" t="s">
        <v>65</v>
      </c>
      <c r="E13" s="19">
        <f ca="1">E12/_xlfn.STDEV.S(Xперемен)/SQRT(E11-1)</f>
        <v>0.34440809707186332</v>
      </c>
    </row>
    <row r="14" spans="1:26" x14ac:dyDescent="0.2">
      <c r="A14" s="9" t="s">
        <v>8</v>
      </c>
      <c r="B14" s="9">
        <f>B11+B12*(B13-1)</f>
        <v>1000</v>
      </c>
      <c r="D14" s="8" t="s">
        <v>48</v>
      </c>
      <c r="E14" s="19">
        <f>AVERAGE(Xперемен)</f>
        <v>700</v>
      </c>
    </row>
    <row r="15" spans="1:26" ht="15" x14ac:dyDescent="0.2">
      <c r="A15" s="22" t="s">
        <v>12</v>
      </c>
      <c r="B15" s="17">
        <v>0.2</v>
      </c>
      <c r="C15" s="11" t="s">
        <v>13</v>
      </c>
      <c r="D15" s="8" t="s">
        <v>164</v>
      </c>
      <c r="E15" s="9">
        <f ca="1">E12*E12*(1+1/E11)</f>
        <v>227981.75354568847</v>
      </c>
      <c r="F15" s="11" t="s">
        <v>167</v>
      </c>
    </row>
    <row r="16" spans="1:26" ht="15" x14ac:dyDescent="0.2">
      <c r="D16" s="8" t="s">
        <v>165</v>
      </c>
      <c r="E16" s="9">
        <f ca="1">E13*E13*(1/E11)</f>
        <v>1.9445399562075742E-3</v>
      </c>
      <c r="F16" s="11" t="s">
        <v>166</v>
      </c>
    </row>
    <row r="18" spans="1:18" ht="47.25" customHeight="1" x14ac:dyDescent="0.2"/>
    <row r="19" spans="1:18" ht="47.25" customHeight="1" x14ac:dyDescent="0.2"/>
    <row r="21" spans="1:18" x14ac:dyDescent="0.2">
      <c r="G21" s="4" t="s">
        <v>75</v>
      </c>
      <c r="I21" s="4" t="s">
        <v>76</v>
      </c>
    </row>
    <row r="22" spans="1:18" ht="51" x14ac:dyDescent="0.2">
      <c r="A22" s="10" t="s">
        <v>66</v>
      </c>
      <c r="B22" s="10" t="s">
        <v>69</v>
      </c>
      <c r="C22" s="10" t="s">
        <v>70</v>
      </c>
      <c r="D22" s="43" t="s">
        <v>85</v>
      </c>
      <c r="E22" s="43" t="s">
        <v>68</v>
      </c>
      <c r="F22" s="43" t="s">
        <v>71</v>
      </c>
      <c r="G22" s="43" t="s">
        <v>72</v>
      </c>
      <c r="H22" s="43" t="s">
        <v>67</v>
      </c>
      <c r="I22" s="43" t="s">
        <v>73</v>
      </c>
      <c r="J22" s="43" t="s">
        <v>74</v>
      </c>
      <c r="N22" s="10" t="s">
        <v>22</v>
      </c>
      <c r="O22" s="10"/>
      <c r="R22" s="10" t="s">
        <v>17</v>
      </c>
    </row>
    <row r="23" spans="1:18" x14ac:dyDescent="0.2">
      <c r="A23" s="4">
        <v>-29</v>
      </c>
      <c r="B23" s="4">
        <f t="shared" ref="B23:B52" si="0">$B$11+(A23-1)*$B$12</f>
        <v>100</v>
      </c>
      <c r="C23" s="98"/>
      <c r="D23" s="16">
        <f t="shared" ref="D23:D54" ca="1" si="1">TREND(Yперемен,Xперемен,B23)</f>
        <v>1184.1363187758598</v>
      </c>
      <c r="E23" s="41">
        <f t="shared" ref="E23:E54" ca="1" si="2">SQRT($E$15+$E$13*$E$13*(B23-$E$14)^2)</f>
        <v>520.27286204837435</v>
      </c>
      <c r="F23" s="41">
        <f t="shared" ref="F23:F54" ca="1" si="3">D23+$E$9*E23</f>
        <v>2225.1999110794122</v>
      </c>
      <c r="G23" s="41">
        <f t="shared" ref="G23:G54" ca="1" si="4">D23-$E$9*E23</f>
        <v>143.07272647230729</v>
      </c>
      <c r="H23" s="41">
        <f t="shared" ref="H23:H86" ca="1" si="5">SQRT($E$16+$E$13*$E$13*(B23-$E$14)^2)</f>
        <v>206.6448629481466</v>
      </c>
      <c r="I23" s="45">
        <f t="shared" ref="I23:I54" ca="1" si="6">D23+$E$9*H23</f>
        <v>1597.6317344407848</v>
      </c>
      <c r="J23" s="45">
        <f t="shared" ref="J23:J54" ca="1" si="7">D23-$E$9*H23</f>
        <v>770.64090311093469</v>
      </c>
      <c r="L23" s="44"/>
      <c r="M23" s="44"/>
      <c r="N23" s="44">
        <f>B23</f>
        <v>100</v>
      </c>
      <c r="O23" s="16">
        <f ca="1">TREND(Yперемен,Xперемен,N23)</f>
        <v>1184.1363187758598</v>
      </c>
      <c r="P23" s="44"/>
      <c r="R23" s="4" t="e">
        <f t="shared" ref="R23:R54" si="8">IF(OR(A23&lt;1,A23&gt;$B$13),NA(),$B$8*B23+$B$9)</f>
        <v>#N/A</v>
      </c>
    </row>
    <row r="24" spans="1:18" x14ac:dyDescent="0.2">
      <c r="A24" s="4">
        <v>-28</v>
      </c>
      <c r="B24" s="4">
        <f t="shared" si="0"/>
        <v>110</v>
      </c>
      <c r="C24" s="98"/>
      <c r="D24" s="16">
        <f t="shared" ca="1" si="1"/>
        <v>1204.3584141881884</v>
      </c>
      <c r="E24" s="41">
        <f t="shared" ca="1" si="2"/>
        <v>518.91454925622941</v>
      </c>
      <c r="F24" s="41">
        <f t="shared" ca="1" si="3"/>
        <v>2242.7040288726607</v>
      </c>
      <c r="G24" s="41">
        <f t="shared" ca="1" si="4"/>
        <v>166.012799503716</v>
      </c>
      <c r="H24" s="41">
        <f t="shared" ca="1" si="5"/>
        <v>203.20078205717419</v>
      </c>
      <c r="I24" s="45">
        <f t="shared" ca="1" si="6"/>
        <v>1610.9622399085156</v>
      </c>
      <c r="J24" s="45">
        <f t="shared" ca="1" si="7"/>
        <v>797.75458846786114</v>
      </c>
      <c r="L24" s="44"/>
      <c r="M24" s="44"/>
      <c r="N24" s="44">
        <f>B143</f>
        <v>1300</v>
      </c>
      <c r="O24" s="16">
        <f ca="1">TREND(Yперемен,Xперемен,N24)</f>
        <v>3610.7877682552971</v>
      </c>
      <c r="P24" s="44"/>
      <c r="R24" s="4" t="e">
        <f t="shared" si="8"/>
        <v>#N/A</v>
      </c>
    </row>
    <row r="25" spans="1:18" x14ac:dyDescent="0.2">
      <c r="A25" s="4">
        <v>-27</v>
      </c>
      <c r="B25" s="4">
        <f t="shared" si="0"/>
        <v>120</v>
      </c>
      <c r="C25" s="98"/>
      <c r="D25" s="16">
        <f t="shared" ca="1" si="1"/>
        <v>1224.580509600517</v>
      </c>
      <c r="E25" s="41">
        <f t="shared" ca="1" si="2"/>
        <v>517.5755899026251</v>
      </c>
      <c r="F25" s="41">
        <f t="shared" ca="1" si="3"/>
        <v>2260.2468728069789</v>
      </c>
      <c r="G25" s="41">
        <f t="shared" ca="1" si="4"/>
        <v>188.9141463940548</v>
      </c>
      <c r="H25" s="41">
        <f t="shared" ca="1" si="5"/>
        <v>199.75670116895168</v>
      </c>
      <c r="I25" s="45">
        <f t="shared" ca="1" si="6"/>
        <v>1624.2927453817488</v>
      </c>
      <c r="J25" s="45">
        <f t="shared" ca="1" si="7"/>
        <v>824.86827381928515</v>
      </c>
      <c r="L25" s="44"/>
      <c r="M25" s="44"/>
      <c r="N25" s="44"/>
      <c r="O25" s="44"/>
      <c r="P25" s="44"/>
      <c r="R25" s="4" t="e">
        <f t="shared" si="8"/>
        <v>#N/A</v>
      </c>
    </row>
    <row r="26" spans="1:18" x14ac:dyDescent="0.2">
      <c r="A26" s="4">
        <v>-26</v>
      </c>
      <c r="B26" s="4">
        <f t="shared" si="0"/>
        <v>130</v>
      </c>
      <c r="C26" s="98"/>
      <c r="D26" s="16">
        <f t="shared" ca="1" si="1"/>
        <v>1244.8026050128456</v>
      </c>
      <c r="E26" s="41">
        <f t="shared" ca="1" si="2"/>
        <v>516.25613457253053</v>
      </c>
      <c r="F26" s="41">
        <f t="shared" ca="1" si="3"/>
        <v>2277.8287442021947</v>
      </c>
      <c r="G26" s="41">
        <f t="shared" ca="1" si="4"/>
        <v>211.77646582349666</v>
      </c>
      <c r="H26" s="41">
        <f t="shared" ca="1" si="5"/>
        <v>196.31262028362377</v>
      </c>
      <c r="I26" s="45">
        <f t="shared" ca="1" si="6"/>
        <v>1637.6232508607741</v>
      </c>
      <c r="J26" s="45">
        <f t="shared" ca="1" si="7"/>
        <v>851.98195916491704</v>
      </c>
      <c r="L26" s="44"/>
      <c r="M26" s="44"/>
      <c r="N26" s="44"/>
      <c r="O26" s="44"/>
      <c r="P26" s="44"/>
      <c r="R26" s="4" t="e">
        <f t="shared" si="8"/>
        <v>#N/A</v>
      </c>
    </row>
    <row r="27" spans="1:18" x14ac:dyDescent="0.2">
      <c r="A27" s="4">
        <v>-25</v>
      </c>
      <c r="B27" s="4">
        <f t="shared" si="0"/>
        <v>140</v>
      </c>
      <c r="C27" s="98"/>
      <c r="D27" s="16">
        <f t="shared" ca="1" si="1"/>
        <v>1265.0247004251744</v>
      </c>
      <c r="E27" s="41">
        <f t="shared" ca="1" si="2"/>
        <v>514.95633318948205</v>
      </c>
      <c r="F27" s="41">
        <f t="shared" ca="1" si="3"/>
        <v>2295.4499430546102</v>
      </c>
      <c r="G27" s="41">
        <f t="shared" ca="1" si="4"/>
        <v>234.59945779573832</v>
      </c>
      <c r="H27" s="41">
        <f t="shared" ca="1" si="5"/>
        <v>192.86853940134552</v>
      </c>
      <c r="I27" s="45">
        <f t="shared" ca="1" si="6"/>
        <v>1650.9537563459019</v>
      </c>
      <c r="J27" s="45">
        <f t="shared" ca="1" si="7"/>
        <v>879.09564450444691</v>
      </c>
      <c r="L27" s="44"/>
      <c r="M27" s="44"/>
      <c r="N27" s="44"/>
      <c r="O27" s="44"/>
      <c r="P27" s="44"/>
      <c r="R27" s="4" t="e">
        <f t="shared" si="8"/>
        <v>#N/A</v>
      </c>
    </row>
    <row r="28" spans="1:18" x14ac:dyDescent="0.2">
      <c r="A28" s="4">
        <v>-24</v>
      </c>
      <c r="B28" s="4">
        <f t="shared" si="0"/>
        <v>150</v>
      </c>
      <c r="C28" s="98"/>
      <c r="D28" s="16">
        <f t="shared" ca="1" si="1"/>
        <v>1285.246795837503</v>
      </c>
      <c r="E28" s="41">
        <f t="shared" ca="1" si="2"/>
        <v>513.67633494994561</v>
      </c>
      <c r="F28" s="41">
        <f t="shared" ca="1" si="3"/>
        <v>2313.1107679056659</v>
      </c>
      <c r="G28" s="41">
        <f t="shared" ca="1" si="4"/>
        <v>257.38282376934035</v>
      </c>
      <c r="H28" s="41">
        <f t="shared" ca="1" si="5"/>
        <v>189.42445852228329</v>
      </c>
      <c r="I28" s="45">
        <f t="shared" ca="1" si="6"/>
        <v>1664.2842618374648</v>
      </c>
      <c r="J28" s="45">
        <f t="shared" ca="1" si="7"/>
        <v>906.20932983754119</v>
      </c>
      <c r="K28" s="44"/>
      <c r="L28" s="44"/>
      <c r="M28" s="44"/>
      <c r="N28" s="44"/>
      <c r="O28" s="44"/>
      <c r="P28" s="44"/>
      <c r="R28" s="4" t="e">
        <f t="shared" si="8"/>
        <v>#N/A</v>
      </c>
    </row>
    <row r="29" spans="1:18" x14ac:dyDescent="0.2">
      <c r="A29" s="4">
        <v>-23</v>
      </c>
      <c r="B29" s="4">
        <f t="shared" si="0"/>
        <v>160</v>
      </c>
      <c r="C29" s="98"/>
      <c r="D29" s="16">
        <f t="shared" ca="1" si="1"/>
        <v>1305.4688912498316</v>
      </c>
      <c r="E29" s="41">
        <f t="shared" ca="1" si="2"/>
        <v>512.41628825665396</v>
      </c>
      <c r="F29" s="41">
        <f t="shared" ca="1" si="3"/>
        <v>2330.8115157085422</v>
      </c>
      <c r="G29" s="41">
        <f t="shared" ca="1" si="4"/>
        <v>280.126266791121</v>
      </c>
      <c r="H29" s="41">
        <f t="shared" ca="1" si="5"/>
        <v>185.98037764661572</v>
      </c>
      <c r="I29" s="45">
        <f t="shared" ca="1" si="6"/>
        <v>1677.6147673358205</v>
      </c>
      <c r="J29" s="45">
        <f t="shared" ca="1" si="7"/>
        <v>933.32301516384268</v>
      </c>
      <c r="K29" s="44"/>
      <c r="L29" s="44"/>
      <c r="M29" s="44"/>
      <c r="N29" s="44"/>
      <c r="O29" s="44"/>
      <c r="P29" s="44"/>
      <c r="R29" s="4" t="e">
        <f t="shared" si="8"/>
        <v>#N/A</v>
      </c>
    </row>
    <row r="30" spans="1:18" x14ac:dyDescent="0.2">
      <c r="A30" s="4">
        <v>-22</v>
      </c>
      <c r="B30" s="4">
        <f t="shared" si="0"/>
        <v>170</v>
      </c>
      <c r="C30" s="98"/>
      <c r="D30" s="16">
        <f t="shared" ca="1" si="1"/>
        <v>1325.6909866621604</v>
      </c>
      <c r="E30" s="41">
        <f t="shared" ca="1" si="2"/>
        <v>511.17634065096325</v>
      </c>
      <c r="F30" s="41">
        <f t="shared" ca="1" si="3"/>
        <v>2348.5524816928123</v>
      </c>
      <c r="G30" s="41">
        <f t="shared" ca="1" si="4"/>
        <v>302.82949163150852</v>
      </c>
      <c r="H30" s="41">
        <f t="shared" ca="1" si="5"/>
        <v>182.536296774535</v>
      </c>
      <c r="I30" s="45">
        <f t="shared" ca="1" si="6"/>
        <v>1690.9452728413535</v>
      </c>
      <c r="J30" s="45">
        <f t="shared" ca="1" si="7"/>
        <v>960.43670048296735</v>
      </c>
      <c r="K30" s="44"/>
      <c r="L30" s="44"/>
      <c r="M30" s="44"/>
      <c r="N30" s="44"/>
      <c r="O30" s="44"/>
      <c r="P30" s="44"/>
      <c r="R30" s="4" t="e">
        <f t="shared" si="8"/>
        <v>#N/A</v>
      </c>
    </row>
    <row r="31" spans="1:18" x14ac:dyDescent="0.2">
      <c r="A31" s="4">
        <v>-21</v>
      </c>
      <c r="B31" s="4">
        <f t="shared" si="0"/>
        <v>180</v>
      </c>
      <c r="C31" s="98"/>
      <c r="D31" s="16">
        <f t="shared" ca="1" si="1"/>
        <v>1345.913082074489</v>
      </c>
      <c r="E31" s="41">
        <f t="shared" ca="1" si="2"/>
        <v>509.9566387442747</v>
      </c>
      <c r="F31" s="41">
        <f t="shared" ca="1" si="3"/>
        <v>2366.3339592272114</v>
      </c>
      <c r="G31" s="41">
        <f t="shared" ca="1" si="4"/>
        <v>325.49220492176642</v>
      </c>
      <c r="H31" s="41">
        <f t="shared" ca="1" si="5"/>
        <v>179.09221590624804</v>
      </c>
      <c r="I31" s="45">
        <f t="shared" ca="1" si="6"/>
        <v>1704.2757783544776</v>
      </c>
      <c r="J31" s="45">
        <f t="shared" ca="1" si="7"/>
        <v>987.55038579450036</v>
      </c>
      <c r="K31" s="44"/>
      <c r="L31" s="44"/>
      <c r="M31" s="44"/>
      <c r="N31" s="44"/>
      <c r="O31" s="44"/>
      <c r="P31" s="44"/>
      <c r="R31" s="4" t="e">
        <f t="shared" si="8"/>
        <v>#N/A</v>
      </c>
    </row>
    <row r="32" spans="1:18" x14ac:dyDescent="0.2">
      <c r="A32" s="4">
        <v>-20</v>
      </c>
      <c r="B32" s="4">
        <f t="shared" si="0"/>
        <v>190</v>
      </c>
      <c r="C32" s="98"/>
      <c r="D32" s="16">
        <f t="shared" ca="1" si="1"/>
        <v>1366.1351774868176</v>
      </c>
      <c r="E32" s="41">
        <f t="shared" ca="1" si="2"/>
        <v>508.75732814857167</v>
      </c>
      <c r="F32" s="41">
        <f t="shared" ca="1" si="3"/>
        <v>2384.1562396806462</v>
      </c>
      <c r="G32" s="41">
        <f t="shared" ca="1" si="4"/>
        <v>348.11411529298903</v>
      </c>
      <c r="H32" s="41">
        <f t="shared" ca="1" si="5"/>
        <v>175.64813504197801</v>
      </c>
      <c r="I32" s="45">
        <f t="shared" ca="1" si="6"/>
        <v>1717.6062838756397</v>
      </c>
      <c r="J32" s="45">
        <f t="shared" ca="1" si="7"/>
        <v>1014.6640710979955</v>
      </c>
      <c r="K32" s="44"/>
      <c r="L32" s="44"/>
      <c r="M32" s="44"/>
      <c r="N32" s="44"/>
      <c r="O32" s="44"/>
      <c r="P32" s="44"/>
      <c r="R32" s="4" t="e">
        <f t="shared" si="8"/>
        <v>#N/A</v>
      </c>
    </row>
    <row r="33" spans="1:18" x14ac:dyDescent="0.2">
      <c r="A33" s="4">
        <v>-19</v>
      </c>
      <c r="B33" s="4">
        <f t="shared" si="0"/>
        <v>200</v>
      </c>
      <c r="C33" s="98"/>
      <c r="D33" s="16">
        <f t="shared" ca="1" si="1"/>
        <v>1386.3572728991462</v>
      </c>
      <c r="E33" s="41">
        <f t="shared" ca="1" si="2"/>
        <v>507.57855340612451</v>
      </c>
      <c r="F33" s="41">
        <f t="shared" ca="1" si="3"/>
        <v>2402.019612281531</v>
      </c>
      <c r="G33" s="41">
        <f t="shared" ca="1" si="4"/>
        <v>370.69493351676158</v>
      </c>
      <c r="H33" s="41">
        <f t="shared" ca="1" si="5"/>
        <v>172.20405418196594</v>
      </c>
      <c r="I33" s="45">
        <f t="shared" ca="1" si="6"/>
        <v>1730.9367894053219</v>
      </c>
      <c r="J33" s="45">
        <f t="shared" ca="1" si="7"/>
        <v>1041.7777563929706</v>
      </c>
      <c r="K33" s="44"/>
      <c r="L33" s="44"/>
      <c r="M33" s="44"/>
      <c r="N33" s="44"/>
      <c r="O33" s="44"/>
      <c r="P33" s="44"/>
      <c r="R33" s="4" t="e">
        <f t="shared" si="8"/>
        <v>#N/A</v>
      </c>
    </row>
    <row r="34" spans="1:18" x14ac:dyDescent="0.2">
      <c r="A34" s="4">
        <v>-18</v>
      </c>
      <c r="B34" s="4">
        <f t="shared" si="0"/>
        <v>210</v>
      </c>
      <c r="C34" s="98"/>
      <c r="D34" s="16">
        <f t="shared" ca="1" si="1"/>
        <v>1406.5793683114748</v>
      </c>
      <c r="E34" s="41">
        <f t="shared" ca="1" si="2"/>
        <v>506.42045791841804</v>
      </c>
      <c r="F34" s="41">
        <f t="shared" ca="1" si="3"/>
        <v>2419.9243639755741</v>
      </c>
      <c r="G34" s="41">
        <f t="shared" ca="1" si="4"/>
        <v>393.23437264737572</v>
      </c>
      <c r="H34" s="41">
        <f t="shared" ca="1" si="5"/>
        <v>168.75997332647248</v>
      </c>
      <c r="I34" s="45">
        <f t="shared" ca="1" si="6"/>
        <v>1744.2672949440457</v>
      </c>
      <c r="J34" s="45">
        <f t="shared" ca="1" si="7"/>
        <v>1068.8914416789039</v>
      </c>
      <c r="K34" s="44"/>
      <c r="L34" s="44"/>
      <c r="M34" s="44"/>
      <c r="N34" s="44"/>
      <c r="O34" s="44"/>
      <c r="P34" s="44"/>
      <c r="R34" s="4" t="e">
        <f t="shared" si="8"/>
        <v>#N/A</v>
      </c>
    </row>
    <row r="35" spans="1:18" x14ac:dyDescent="0.2">
      <c r="A35" s="4">
        <v>-17</v>
      </c>
      <c r="B35" s="4">
        <f t="shared" si="0"/>
        <v>220</v>
      </c>
      <c r="C35" s="98"/>
      <c r="D35" s="16">
        <f t="shared" ca="1" si="1"/>
        <v>1426.8014637238034</v>
      </c>
      <c r="E35" s="41">
        <f t="shared" ca="1" si="2"/>
        <v>505.2831838743619</v>
      </c>
      <c r="F35" s="41">
        <f t="shared" ca="1" si="3"/>
        <v>2437.8707792821265</v>
      </c>
      <c r="G35" s="41">
        <f t="shared" ca="1" si="4"/>
        <v>415.73214816548034</v>
      </c>
      <c r="H35" s="41">
        <f t="shared" ca="1" si="5"/>
        <v>165.31589247578009</v>
      </c>
      <c r="I35" s="45">
        <f t="shared" ca="1" si="6"/>
        <v>1757.5978004923766</v>
      </c>
      <c r="J35" s="45">
        <f t="shared" ca="1" si="7"/>
        <v>1096.0051269552303</v>
      </c>
      <c r="K35" s="44"/>
      <c r="L35" s="44"/>
      <c r="M35" s="44"/>
      <c r="N35" s="44"/>
      <c r="O35" s="44"/>
      <c r="P35" s="44"/>
      <c r="R35" s="4" t="e">
        <f t="shared" si="8"/>
        <v>#N/A</v>
      </c>
    </row>
    <row r="36" spans="1:18" x14ac:dyDescent="0.2">
      <c r="A36" s="4">
        <v>-16</v>
      </c>
      <c r="B36" s="4">
        <f t="shared" si="0"/>
        <v>230</v>
      </c>
      <c r="C36" s="98"/>
      <c r="D36" s="16">
        <f t="shared" ca="1" si="1"/>
        <v>1447.023559136132</v>
      </c>
      <c r="E36" s="41">
        <f t="shared" ca="1" si="2"/>
        <v>504.1668721778434</v>
      </c>
      <c r="F36" s="41">
        <f t="shared" ca="1" si="3"/>
        <v>2455.8591401492158</v>
      </c>
      <c r="G36" s="41">
        <f t="shared" ca="1" si="4"/>
        <v>438.18797812304842</v>
      </c>
      <c r="H36" s="41">
        <f t="shared" ca="1" si="5"/>
        <v>161.8718116301952</v>
      </c>
      <c r="I36" s="45">
        <f t="shared" ca="1" si="6"/>
        <v>1770.9283060509274</v>
      </c>
      <c r="J36" s="45">
        <f t="shared" ca="1" si="7"/>
        <v>1123.1188122213366</v>
      </c>
      <c r="K36" s="44"/>
      <c r="L36" s="44"/>
      <c r="M36" s="44"/>
      <c r="N36" s="44"/>
      <c r="O36" s="44"/>
      <c r="P36" s="44"/>
      <c r="R36" s="4" t="e">
        <f t="shared" si="8"/>
        <v>#N/A</v>
      </c>
    </row>
    <row r="37" spans="1:18" x14ac:dyDescent="0.2">
      <c r="A37" s="4">
        <v>-15</v>
      </c>
      <c r="B37" s="4">
        <f t="shared" si="0"/>
        <v>240</v>
      </c>
      <c r="C37" s="98"/>
      <c r="D37" s="16">
        <f t="shared" ca="1" si="1"/>
        <v>1467.2456545484608</v>
      </c>
      <c r="E37" s="41">
        <f t="shared" ca="1" si="2"/>
        <v>503.07166237468925</v>
      </c>
      <c r="F37" s="41">
        <f t="shared" ca="1" si="3"/>
        <v>2473.8897258073962</v>
      </c>
      <c r="G37" s="41">
        <f t="shared" ca="1" si="4"/>
        <v>460.60158328952559</v>
      </c>
      <c r="H37" s="41">
        <f t="shared" ca="1" si="5"/>
        <v>158.42773079005087</v>
      </c>
      <c r="I37" s="45">
        <f t="shared" ca="1" si="6"/>
        <v>1784.2588116203651</v>
      </c>
      <c r="J37" s="45">
        <f t="shared" ca="1" si="7"/>
        <v>1150.2324974765565</v>
      </c>
      <c r="K37" s="44"/>
      <c r="L37" s="44"/>
      <c r="M37" s="44"/>
      <c r="N37" s="44"/>
      <c r="O37" s="44"/>
      <c r="P37" s="44"/>
      <c r="R37" s="4" t="e">
        <f t="shared" si="8"/>
        <v>#N/A</v>
      </c>
    </row>
    <row r="38" spans="1:18" x14ac:dyDescent="0.2">
      <c r="A38" s="4">
        <v>-14</v>
      </c>
      <c r="B38" s="4">
        <f t="shared" si="0"/>
        <v>250</v>
      </c>
      <c r="C38" s="98"/>
      <c r="D38" s="16">
        <f t="shared" ca="1" si="1"/>
        <v>1487.4677499607894</v>
      </c>
      <c r="E38" s="41">
        <f t="shared" ca="1" si="2"/>
        <v>501.99769257910191</v>
      </c>
      <c r="F38" s="41">
        <f t="shared" ca="1" si="3"/>
        <v>2491.962812622548</v>
      </c>
      <c r="G38" s="41">
        <f t="shared" ca="1" si="4"/>
        <v>482.97268729903089</v>
      </c>
      <c r="H38" s="41">
        <f t="shared" ca="1" si="5"/>
        <v>154.98364995570989</v>
      </c>
      <c r="I38" s="45">
        <f t="shared" ca="1" si="6"/>
        <v>1797.589317201415</v>
      </c>
      <c r="J38" s="45">
        <f t="shared" ca="1" si="7"/>
        <v>1177.3461827201638</v>
      </c>
      <c r="K38" s="44"/>
      <c r="L38" s="44"/>
      <c r="M38" s="44"/>
      <c r="N38" s="44"/>
      <c r="O38" s="44"/>
      <c r="P38" s="44"/>
      <c r="R38" s="4" t="e">
        <f t="shared" si="8"/>
        <v>#N/A</v>
      </c>
    </row>
    <row r="39" spans="1:18" x14ac:dyDescent="0.2">
      <c r="A39" s="4">
        <v>-13</v>
      </c>
      <c r="B39" s="4">
        <f t="shared" si="0"/>
        <v>260</v>
      </c>
      <c r="C39" s="98"/>
      <c r="D39" s="16">
        <f t="shared" ca="1" si="1"/>
        <v>1507.689845373118</v>
      </c>
      <c r="E39" s="41">
        <f t="shared" ca="1" si="2"/>
        <v>500.94509939964223</v>
      </c>
      <c r="F39" s="41">
        <f t="shared" ca="1" si="3"/>
        <v>2510.0786739477708</v>
      </c>
      <c r="G39" s="41">
        <f t="shared" ca="1" si="4"/>
        <v>505.30101679846553</v>
      </c>
      <c r="H39" s="41">
        <f t="shared" ca="1" si="5"/>
        <v>151.53956912756789</v>
      </c>
      <c r="I39" s="45">
        <f t="shared" ca="1" si="6"/>
        <v>1810.9198227948691</v>
      </c>
      <c r="J39" s="45">
        <f t="shared" ca="1" si="7"/>
        <v>1204.459867951367</v>
      </c>
      <c r="K39" s="44"/>
      <c r="L39" s="44"/>
      <c r="M39" s="44"/>
      <c r="N39" s="44"/>
      <c r="O39" s="44"/>
      <c r="P39" s="44"/>
      <c r="R39" s="4" t="e">
        <f t="shared" si="8"/>
        <v>#N/A</v>
      </c>
    </row>
    <row r="40" spans="1:18" x14ac:dyDescent="0.2">
      <c r="A40" s="4">
        <v>-12</v>
      </c>
      <c r="B40" s="4">
        <f t="shared" si="0"/>
        <v>270</v>
      </c>
      <c r="C40" s="98"/>
      <c r="D40" s="16">
        <f t="shared" ca="1" si="1"/>
        <v>1527.9119407854469</v>
      </c>
      <c r="E40" s="41">
        <f t="shared" ca="1" si="2"/>
        <v>499.9140178648305</v>
      </c>
      <c r="F40" s="41">
        <f t="shared" ca="1" si="3"/>
        <v>2528.2375799745087</v>
      </c>
      <c r="G40" s="41">
        <f t="shared" ca="1" si="4"/>
        <v>527.58630159638483</v>
      </c>
      <c r="H40" s="41">
        <f t="shared" ca="1" si="5"/>
        <v>148.09548830605732</v>
      </c>
      <c r="I40" s="45">
        <f t="shared" ca="1" si="6"/>
        <v>1824.2503284015929</v>
      </c>
      <c r="J40" s="45">
        <f t="shared" ca="1" si="7"/>
        <v>1231.5735531693008</v>
      </c>
      <c r="K40" s="44"/>
      <c r="L40" s="44"/>
      <c r="M40" s="44"/>
      <c r="N40" s="44"/>
      <c r="O40" s="44"/>
      <c r="P40" s="44"/>
      <c r="R40" s="4" t="e">
        <f t="shared" si="8"/>
        <v>#N/A</v>
      </c>
    </row>
    <row r="41" spans="1:18" x14ac:dyDescent="0.2">
      <c r="A41" s="4">
        <v>-11</v>
      </c>
      <c r="B41" s="4">
        <f t="shared" si="0"/>
        <v>280</v>
      </c>
      <c r="C41" s="98"/>
      <c r="D41" s="16">
        <f t="shared" ca="1" si="1"/>
        <v>1548.1340361977755</v>
      </c>
      <c r="E41" s="41">
        <f t="shared" ca="1" si="2"/>
        <v>498.90458134844226</v>
      </c>
      <c r="F41" s="41">
        <f t="shared" ca="1" si="3"/>
        <v>2546.4397975830711</v>
      </c>
      <c r="G41" s="41">
        <f t="shared" ca="1" si="4"/>
        <v>549.82827481247978</v>
      </c>
      <c r="H41" s="41">
        <f t="shared" ca="1" si="5"/>
        <v>144.65140749165192</v>
      </c>
      <c r="I41" s="45">
        <f t="shared" ca="1" si="6"/>
        <v>1837.5808340225337</v>
      </c>
      <c r="J41" s="45">
        <f t="shared" ca="1" si="7"/>
        <v>1258.6872383730172</v>
      </c>
      <c r="K41" s="44"/>
      <c r="L41" s="44"/>
      <c r="M41" s="44"/>
      <c r="N41" s="44"/>
      <c r="O41" s="44"/>
      <c r="P41" s="44"/>
      <c r="R41" s="4" t="e">
        <f t="shared" si="8"/>
        <v>#N/A</v>
      </c>
    </row>
    <row r="42" spans="1:18" x14ac:dyDescent="0.2">
      <c r="A42" s="4">
        <v>-10</v>
      </c>
      <c r="B42" s="4">
        <f t="shared" si="0"/>
        <v>290</v>
      </c>
      <c r="C42" s="98"/>
      <c r="D42" s="16">
        <f t="shared" ca="1" si="1"/>
        <v>1568.3561316101041</v>
      </c>
      <c r="E42" s="41">
        <f t="shared" ca="1" si="2"/>
        <v>497.9169214945768</v>
      </c>
      <c r="F42" s="41">
        <f t="shared" ca="1" si="3"/>
        <v>2564.6855901926915</v>
      </c>
      <c r="G42" s="41">
        <f t="shared" ca="1" si="4"/>
        <v>572.02667302751649</v>
      </c>
      <c r="H42" s="41">
        <f t="shared" ca="1" si="5"/>
        <v>141.20732668487156</v>
      </c>
      <c r="I42" s="45">
        <f t="shared" ca="1" si="6"/>
        <v>1850.9113396587322</v>
      </c>
      <c r="J42" s="45">
        <f t="shared" ca="1" si="7"/>
        <v>1285.8009235614759</v>
      </c>
      <c r="K42" s="44"/>
      <c r="L42" s="44"/>
      <c r="M42" s="44"/>
      <c r="N42" s="44"/>
      <c r="O42" s="44"/>
      <c r="P42" s="44"/>
      <c r="R42" s="4" t="e">
        <f t="shared" si="8"/>
        <v>#N/A</v>
      </c>
    </row>
    <row r="43" spans="1:18" x14ac:dyDescent="0.2">
      <c r="A43" s="4">
        <v>-9</v>
      </c>
      <c r="B43" s="4">
        <f t="shared" si="0"/>
        <v>300</v>
      </c>
      <c r="C43" s="98"/>
      <c r="D43" s="16">
        <f t="shared" ca="1" si="1"/>
        <v>1588.5782270224327</v>
      </c>
      <c r="E43" s="41">
        <f t="shared" ca="1" si="2"/>
        <v>496.95116814257955</v>
      </c>
      <c r="F43" s="41">
        <f t="shared" ca="1" si="3"/>
        <v>2582.9752176113006</v>
      </c>
      <c r="G43" s="41">
        <f t="shared" ca="1" si="4"/>
        <v>594.18123643356489</v>
      </c>
      <c r="H43" s="41">
        <f t="shared" ca="1" si="5"/>
        <v>137.7632458862881</v>
      </c>
      <c r="I43" s="45">
        <f t="shared" ca="1" si="6"/>
        <v>1864.2418453113328</v>
      </c>
      <c r="J43" s="45">
        <f t="shared" ca="1" si="7"/>
        <v>1312.9146087335325</v>
      </c>
      <c r="K43" s="44"/>
      <c r="L43" s="44"/>
      <c r="M43" s="44"/>
      <c r="N43" s="44"/>
      <c r="O43" s="44"/>
      <c r="P43" s="44"/>
      <c r="R43" s="4" t="e">
        <f t="shared" si="8"/>
        <v>#N/A</v>
      </c>
    </row>
    <row r="44" spans="1:18" x14ac:dyDescent="0.2">
      <c r="A44" s="4">
        <v>-8</v>
      </c>
      <c r="B44" s="4">
        <f t="shared" si="0"/>
        <v>310</v>
      </c>
      <c r="C44" s="98"/>
      <c r="D44" s="16">
        <f t="shared" ca="1" si="1"/>
        <v>1608.8003224347613</v>
      </c>
      <c r="E44" s="41">
        <f t="shared" ca="1" si="2"/>
        <v>496.00744925190179</v>
      </c>
      <c r="F44" s="41">
        <f t="shared" ca="1" si="3"/>
        <v>2601.3089358851685</v>
      </c>
      <c r="G44" s="41">
        <f t="shared" ca="1" si="4"/>
        <v>616.29170898435427</v>
      </c>
      <c r="H44" s="41">
        <f t="shared" ca="1" si="5"/>
        <v>134.31916509653209</v>
      </c>
      <c r="I44" s="45">
        <f t="shared" ca="1" si="6"/>
        <v>1877.5723509815971</v>
      </c>
      <c r="J44" s="45">
        <f t="shared" ca="1" si="7"/>
        <v>1340.0282938879254</v>
      </c>
      <c r="K44" s="44"/>
      <c r="L44" s="44"/>
      <c r="M44" s="44"/>
      <c r="N44" s="44"/>
      <c r="O44" s="44"/>
      <c r="P44" s="44"/>
      <c r="R44" s="4" t="e">
        <f t="shared" si="8"/>
        <v>#N/A</v>
      </c>
    </row>
    <row r="45" spans="1:18" x14ac:dyDescent="0.2">
      <c r="A45" s="4">
        <v>-7</v>
      </c>
      <c r="B45" s="4">
        <f t="shared" si="0"/>
        <v>320</v>
      </c>
      <c r="C45" s="98"/>
      <c r="D45" s="16">
        <f t="shared" ca="1" si="1"/>
        <v>1629.0224178470899</v>
      </c>
      <c r="E45" s="41">
        <f t="shared" ca="1" si="2"/>
        <v>495.08589082698296</v>
      </c>
      <c r="F45" s="41">
        <f t="shared" ca="1" si="3"/>
        <v>2619.6869971485958</v>
      </c>
      <c r="G45" s="41">
        <f t="shared" ca="1" si="4"/>
        <v>638.35783854558372</v>
      </c>
      <c r="H45" s="41">
        <f t="shared" ca="1" si="5"/>
        <v>130.87508431630044</v>
      </c>
      <c r="I45" s="45">
        <f t="shared" ca="1" si="6"/>
        <v>1890.9028566709194</v>
      </c>
      <c r="J45" s="45">
        <f t="shared" ca="1" si="7"/>
        <v>1367.1419790232603</v>
      </c>
      <c r="K45" s="44"/>
      <c r="L45" s="44"/>
      <c r="M45" s="44"/>
      <c r="N45" s="44"/>
      <c r="O45" s="44"/>
      <c r="P45" s="44"/>
      <c r="R45" s="4" t="e">
        <f t="shared" si="8"/>
        <v>#N/A</v>
      </c>
    </row>
    <row r="46" spans="1:18" x14ac:dyDescent="0.2">
      <c r="A46" s="4">
        <v>-6</v>
      </c>
      <c r="B46" s="4">
        <f t="shared" si="0"/>
        <v>330</v>
      </c>
      <c r="C46" s="98"/>
      <c r="D46" s="16">
        <f t="shared" ca="1" si="1"/>
        <v>1649.2445132594185</v>
      </c>
      <c r="E46" s="41">
        <f t="shared" ca="1" si="2"/>
        <v>494.18661684224344</v>
      </c>
      <c r="F46" s="41">
        <f t="shared" ca="1" si="3"/>
        <v>2638.1096494738258</v>
      </c>
      <c r="G46" s="41">
        <f t="shared" ca="1" si="4"/>
        <v>660.3793770450111</v>
      </c>
      <c r="H46" s="41">
        <f t="shared" ca="1" si="5"/>
        <v>127.43100354636537</v>
      </c>
      <c r="I46" s="45">
        <f t="shared" ca="1" si="6"/>
        <v>1904.2333623808454</v>
      </c>
      <c r="J46" s="45">
        <f t="shared" ca="1" si="7"/>
        <v>1394.2556641379915</v>
      </c>
      <c r="K46" s="44"/>
      <c r="L46" s="44"/>
      <c r="M46" s="44"/>
      <c r="N46" s="44"/>
      <c r="O46" s="44"/>
      <c r="P46" s="44"/>
      <c r="R46" s="4" t="e">
        <f t="shared" si="8"/>
        <v>#N/A</v>
      </c>
    </row>
    <row r="47" spans="1:18" x14ac:dyDescent="0.2">
      <c r="A47" s="4">
        <v>-5</v>
      </c>
      <c r="B47" s="4">
        <f t="shared" si="0"/>
        <v>340</v>
      </c>
      <c r="C47" s="98"/>
      <c r="D47" s="16">
        <f t="shared" ca="1" si="1"/>
        <v>1669.4666086717473</v>
      </c>
      <c r="E47" s="41">
        <f t="shared" ca="1" si="2"/>
        <v>493.30974916727831</v>
      </c>
      <c r="F47" s="41">
        <f t="shared" ca="1" si="3"/>
        <v>2656.5771367213542</v>
      </c>
      <c r="G47" s="41">
        <f t="shared" ca="1" si="4"/>
        <v>682.35608062214021</v>
      </c>
      <c r="H47" s="41">
        <f t="shared" ca="1" si="5"/>
        <v>123.98692278758496</v>
      </c>
      <c r="I47" s="45">
        <f t="shared" ca="1" si="6"/>
        <v>1917.5638681130918</v>
      </c>
      <c r="J47" s="45">
        <f t="shared" ca="1" si="7"/>
        <v>1421.3693492304028</v>
      </c>
      <c r="K47" s="44"/>
      <c r="L47" s="44"/>
      <c r="M47" s="44"/>
      <c r="N47" s="44"/>
      <c r="O47" s="44"/>
      <c r="P47" s="44"/>
      <c r="R47" s="4" t="e">
        <f t="shared" si="8"/>
        <v>#N/A</v>
      </c>
    </row>
    <row r="48" spans="1:18" x14ac:dyDescent="0.2">
      <c r="A48" s="4">
        <v>-4</v>
      </c>
      <c r="B48" s="4">
        <f t="shared" si="0"/>
        <v>350</v>
      </c>
      <c r="C48" s="98"/>
      <c r="D48" s="16">
        <f t="shared" ca="1" si="1"/>
        <v>1689.6887040840759</v>
      </c>
      <c r="E48" s="41">
        <f t="shared" ca="1" si="2"/>
        <v>492.45540749234294</v>
      </c>
      <c r="F48" s="41">
        <f t="shared" ca="1" si="3"/>
        <v>2675.0896983908292</v>
      </c>
      <c r="G48" s="41">
        <f t="shared" ca="1" si="4"/>
        <v>704.28770977732268</v>
      </c>
      <c r="H48" s="41">
        <f t="shared" ca="1" si="5"/>
        <v>120.54284204091527</v>
      </c>
      <c r="I48" s="45">
        <f t="shared" ca="1" si="6"/>
        <v>1930.8943738695716</v>
      </c>
      <c r="J48" s="45">
        <f t="shared" ca="1" si="7"/>
        <v>1448.4830342985802</v>
      </c>
      <c r="K48" s="44"/>
      <c r="L48" s="44"/>
      <c r="M48" s="44"/>
      <c r="N48" s="44"/>
      <c r="O48" s="44"/>
      <c r="P48" s="44"/>
      <c r="R48" s="4" t="e">
        <f t="shared" si="8"/>
        <v>#N/A</v>
      </c>
    </row>
    <row r="49" spans="1:18" x14ac:dyDescent="0.2">
      <c r="A49" s="4">
        <v>-3</v>
      </c>
      <c r="B49" s="4">
        <f t="shared" si="0"/>
        <v>360</v>
      </c>
      <c r="C49" s="98"/>
      <c r="D49" s="16">
        <f t="shared" ca="1" si="1"/>
        <v>1709.9107994964045</v>
      </c>
      <c r="E49" s="41">
        <f t="shared" ca="1" si="2"/>
        <v>491.62370925422402</v>
      </c>
      <c r="F49" s="41">
        <f t="shared" ca="1" si="3"/>
        <v>2693.6475694727178</v>
      </c>
      <c r="G49" s="41">
        <f t="shared" ca="1" si="4"/>
        <v>726.17402952009138</v>
      </c>
      <c r="H49" s="41">
        <f t="shared" ca="1" si="5"/>
        <v>117.09876130742497</v>
      </c>
      <c r="I49" s="45">
        <f t="shared" ca="1" si="6"/>
        <v>1944.2248796524232</v>
      </c>
      <c r="J49" s="45">
        <f t="shared" ca="1" si="7"/>
        <v>1475.5967193403858</v>
      </c>
      <c r="K49" s="44"/>
      <c r="L49" s="44"/>
      <c r="M49" s="44"/>
      <c r="N49" s="44"/>
      <c r="O49" s="44"/>
      <c r="P49" s="44"/>
      <c r="R49" s="4" t="e">
        <f t="shared" si="8"/>
        <v>#N/A</v>
      </c>
    </row>
    <row r="50" spans="1:18" x14ac:dyDescent="0.2">
      <c r="A50" s="4">
        <v>-2</v>
      </c>
      <c r="B50" s="4">
        <f t="shared" si="0"/>
        <v>370</v>
      </c>
      <c r="C50" s="98"/>
      <c r="D50" s="16">
        <f t="shared" ca="1" si="1"/>
        <v>1730.1328949087333</v>
      </c>
      <c r="E50" s="41">
        <f t="shared" ca="1" si="2"/>
        <v>490.81476956259149</v>
      </c>
      <c r="F50" s="41">
        <f t="shared" ca="1" si="3"/>
        <v>2712.2509803009375</v>
      </c>
      <c r="G50" s="41">
        <f t="shared" ca="1" si="4"/>
        <v>748.014809516529</v>
      </c>
      <c r="H50" s="41">
        <f t="shared" ca="1" si="5"/>
        <v>113.6546805883121</v>
      </c>
      <c r="I50" s="45">
        <f t="shared" ca="1" si="6"/>
        <v>1957.5553854640443</v>
      </c>
      <c r="J50" s="45">
        <f t="shared" ca="1" si="7"/>
        <v>1502.7104043534223</v>
      </c>
      <c r="K50" s="44"/>
      <c r="L50" s="44"/>
      <c r="M50" s="44"/>
      <c r="N50" s="44"/>
      <c r="O50" s="44"/>
      <c r="P50" s="44"/>
      <c r="R50" s="4" t="e">
        <f t="shared" si="8"/>
        <v>#N/A</v>
      </c>
    </row>
    <row r="51" spans="1:18" x14ac:dyDescent="0.2">
      <c r="A51" s="4">
        <v>-1</v>
      </c>
      <c r="B51" s="4">
        <f t="shared" si="0"/>
        <v>380</v>
      </c>
      <c r="C51" s="98"/>
      <c r="D51" s="16">
        <f t="shared" ca="1" si="1"/>
        <v>1750.3549903210619</v>
      </c>
      <c r="E51" s="41">
        <f t="shared" ca="1" si="2"/>
        <v>490.02870112692733</v>
      </c>
      <c r="F51" s="41">
        <f t="shared" ca="1" si="3"/>
        <v>2730.9001564066411</v>
      </c>
      <c r="G51" s="41">
        <f t="shared" ca="1" si="4"/>
        <v>769.80982423548267</v>
      </c>
      <c r="H51" s="41">
        <f t="shared" ca="1" si="5"/>
        <v>110.21059988492462</v>
      </c>
      <c r="I51" s="45">
        <f t="shared" ca="1" si="6"/>
        <v>1970.8858913071315</v>
      </c>
      <c r="J51" s="45">
        <f t="shared" ca="1" si="7"/>
        <v>1529.8240893349923</v>
      </c>
      <c r="K51" s="44"/>
      <c r="L51" s="44"/>
      <c r="M51" s="44"/>
      <c r="N51" s="44"/>
      <c r="O51" s="44"/>
      <c r="P51" s="44"/>
      <c r="R51" s="4" t="e">
        <f t="shared" si="8"/>
        <v>#N/A</v>
      </c>
    </row>
    <row r="52" spans="1:18" x14ac:dyDescent="0.2">
      <c r="A52" s="4">
        <v>0</v>
      </c>
      <c r="B52" s="4">
        <f t="shared" si="0"/>
        <v>390</v>
      </c>
      <c r="C52" s="98"/>
      <c r="D52" s="16">
        <f t="shared" ca="1" si="1"/>
        <v>1770.5770857333905</v>
      </c>
      <c r="E52" s="41">
        <f t="shared" ca="1" si="2"/>
        <v>489.26561418412894</v>
      </c>
      <c r="F52" s="41">
        <f t="shared" ca="1" si="3"/>
        <v>2749.5953183733509</v>
      </c>
      <c r="G52" s="41">
        <f t="shared" ca="1" si="4"/>
        <v>791.55885309343034</v>
      </c>
      <c r="H52" s="41">
        <f t="shared" ca="1" si="5"/>
        <v>106.76651919878429</v>
      </c>
      <c r="I52" s="45">
        <f t="shared" ca="1" si="6"/>
        <v>1984.2163971847303</v>
      </c>
      <c r="J52" s="45">
        <f t="shared" ca="1" si="7"/>
        <v>1556.9377742820507</v>
      </c>
      <c r="K52" s="44"/>
      <c r="L52" s="44"/>
      <c r="M52" s="44"/>
      <c r="N52" s="44"/>
      <c r="O52" s="44"/>
      <c r="P52" s="44"/>
      <c r="R52" s="4" t="e">
        <f t="shared" si="8"/>
        <v>#N/A</v>
      </c>
    </row>
    <row r="53" spans="1:18" x14ac:dyDescent="0.2">
      <c r="A53" s="4">
        <v>1</v>
      </c>
      <c r="B53" s="4">
        <f>$B$11+(A53-1)*$B$12</f>
        <v>400</v>
      </c>
      <c r="C53" s="16">
        <f t="shared" ref="C53:C84" ca="1" si="9">IF(AND($B$15&gt;0,AVERAGE($R$53:$R$113)),_xlfn.NORM.INV(RAND(),R53,$B$15*ABS(AVERAGE($R$53:$R$113))),R53)</f>
        <v>1168.8267782336784</v>
      </c>
      <c r="D53" s="16">
        <f t="shared" ca="1" si="1"/>
        <v>1790.7991811457191</v>
      </c>
      <c r="E53" s="41">
        <f t="shared" ca="1" si="2"/>
        <v>488.52561642688505</v>
      </c>
      <c r="F53" s="41">
        <f t="shared" ca="1" si="3"/>
        <v>2768.3366816936386</v>
      </c>
      <c r="G53" s="41">
        <f t="shared" ca="1" si="4"/>
        <v>813.26168059779968</v>
      </c>
      <c r="H53" s="41">
        <f t="shared" ca="1" si="5"/>
        <v>103.32243853161586</v>
      </c>
      <c r="I53" s="45">
        <f t="shared" ca="1" si="6"/>
        <v>1997.5469031002917</v>
      </c>
      <c r="J53" s="45">
        <f t="shared" ca="1" si="7"/>
        <v>1584.0514591911465</v>
      </c>
      <c r="R53" s="4">
        <f t="shared" si="8"/>
        <v>1800</v>
      </c>
    </row>
    <row r="54" spans="1:18" x14ac:dyDescent="0.2">
      <c r="A54" s="4">
        <v>2</v>
      </c>
      <c r="B54" s="4">
        <f t="shared" ref="B54:B117" si="10">$B$11+(A54-1)*$B$12</f>
        <v>410</v>
      </c>
      <c r="C54" s="16">
        <f t="shared" ca="1" si="9"/>
        <v>2320.9141116345641</v>
      </c>
      <c r="D54" s="16">
        <f t="shared" ca="1" si="1"/>
        <v>1811.0212765580477</v>
      </c>
      <c r="E54" s="41">
        <f t="shared" ca="1" si="2"/>
        <v>487.80881293292452</v>
      </c>
      <c r="F54" s="41">
        <f t="shared" ca="1" si="3"/>
        <v>2787.1244566275545</v>
      </c>
      <c r="G54" s="41">
        <f t="shared" ca="1" si="4"/>
        <v>834.91809648854087</v>
      </c>
      <c r="H54" s="41">
        <f t="shared" ca="1" si="5"/>
        <v>99.878357885381917</v>
      </c>
      <c r="I54" s="45">
        <f t="shared" ca="1" si="6"/>
        <v>2010.8774090577429</v>
      </c>
      <c r="J54" s="45">
        <f t="shared" ca="1" si="7"/>
        <v>1611.1651440583526</v>
      </c>
      <c r="R54" s="4">
        <f t="shared" si="8"/>
        <v>1820</v>
      </c>
    </row>
    <row r="55" spans="1:18" x14ac:dyDescent="0.2">
      <c r="A55" s="4">
        <v>3</v>
      </c>
      <c r="B55" s="4">
        <f t="shared" si="10"/>
        <v>420</v>
      </c>
      <c r="C55" s="16">
        <f t="shared" ca="1" si="9"/>
        <v>1659.9298519597521</v>
      </c>
      <c r="D55" s="16">
        <f t="shared" ref="D55:D86" ca="1" si="11">TREND(Yперемен,Xперемен,B55)</f>
        <v>1831.2433719703763</v>
      </c>
      <c r="E55" s="41">
        <f t="shared" ref="E55:E86" ca="1" si="12">SQRT($E$15+$E$13*$E$13*(B55-$E$14)^2)</f>
        <v>487.11530609523612</v>
      </c>
      <c r="F55" s="41">
        <f t="shared" ref="F55:F86" ca="1" si="13">D55+$E$9*E55</f>
        <v>2805.9588480629959</v>
      </c>
      <c r="G55" s="41">
        <f t="shared" ref="G55:G86" ca="1" si="14">D55-$E$9*E55</f>
        <v>856.52789587775658</v>
      </c>
      <c r="H55" s="41">
        <f t="shared" ca="1" si="5"/>
        <v>96.434277262325438</v>
      </c>
      <c r="I55" s="45">
        <f t="shared" ref="I55:I86" ca="1" si="15">D55+$E$9*H55</f>
        <v>2024.2079150615721</v>
      </c>
      <c r="J55" s="45">
        <f t="shared" ref="J55:J86" ca="1" si="16">D55-$E$9*H55</f>
        <v>1638.2788288791805</v>
      </c>
      <c r="R55" s="4">
        <f t="shared" ref="R55:R86" si="17">IF(OR(A55&lt;1,A55&gt;$B$13),NA(),$B$8*B55+$B$9)</f>
        <v>1840</v>
      </c>
    </row>
    <row r="56" spans="1:18" x14ac:dyDescent="0.2">
      <c r="A56" s="4">
        <v>4</v>
      </c>
      <c r="B56" s="4">
        <f t="shared" si="10"/>
        <v>430</v>
      </c>
      <c r="C56" s="16">
        <f t="shared" ca="1" si="9"/>
        <v>1475.7518647043148</v>
      </c>
      <c r="D56" s="16">
        <f t="shared" ca="1" si="11"/>
        <v>1851.4654673827049</v>
      </c>
      <c r="E56" s="41">
        <f t="shared" ca="1" si="12"/>
        <v>486.44519555336132</v>
      </c>
      <c r="F56" s="41">
        <f t="shared" ca="1" si="13"/>
        <v>2824.8400553782249</v>
      </c>
      <c r="G56" s="41">
        <f t="shared" ca="1" si="14"/>
        <v>878.09087938718483</v>
      </c>
      <c r="H56" s="41">
        <f t="shared" ca="1" si="5"/>
        <v>92.990196665021728</v>
      </c>
      <c r="I56" s="45">
        <f t="shared" ca="1" si="15"/>
        <v>2037.5384211169326</v>
      </c>
      <c r="J56" s="45">
        <f t="shared" ca="1" si="16"/>
        <v>1665.3925136484772</v>
      </c>
      <c r="R56" s="4">
        <f t="shared" si="17"/>
        <v>1860</v>
      </c>
    </row>
    <row r="57" spans="1:18" x14ac:dyDescent="0.2">
      <c r="A57" s="4">
        <v>5</v>
      </c>
      <c r="B57" s="4">
        <f t="shared" si="10"/>
        <v>440</v>
      </c>
      <c r="C57" s="16">
        <f t="shared" ca="1" si="9"/>
        <v>1749.3909327708116</v>
      </c>
      <c r="D57" s="16">
        <f t="shared" ca="1" si="11"/>
        <v>1871.6875627950337</v>
      </c>
      <c r="E57" s="41">
        <f t="shared" ca="1" si="12"/>
        <v>485.79857812585868</v>
      </c>
      <c r="F57" s="41">
        <f t="shared" ca="1" si="13"/>
        <v>2843.7682723067296</v>
      </c>
      <c r="G57" s="41">
        <f t="shared" ca="1" si="14"/>
        <v>899.60685328333773</v>
      </c>
      <c r="H57" s="41">
        <f t="shared" ca="1" si="5"/>
        <v>89.546116096442233</v>
      </c>
      <c r="I57" s="45">
        <f t="shared" ca="1" si="15"/>
        <v>2050.8689272297702</v>
      </c>
      <c r="J57" s="45">
        <f t="shared" ca="1" si="16"/>
        <v>1692.5061983602973</v>
      </c>
      <c r="R57" s="4">
        <f t="shared" si="17"/>
        <v>1880</v>
      </c>
    </row>
    <row r="58" spans="1:18" x14ac:dyDescent="0.2">
      <c r="A58" s="4">
        <v>6</v>
      </c>
      <c r="B58" s="4">
        <f t="shared" si="10"/>
        <v>450</v>
      </c>
      <c r="C58" s="16">
        <f t="shared" ca="1" si="9"/>
        <v>1543.7518198086364</v>
      </c>
      <c r="D58" s="16">
        <f t="shared" ca="1" si="11"/>
        <v>1891.9096582073623</v>
      </c>
      <c r="E58" s="41">
        <f t="shared" ca="1" si="12"/>
        <v>485.17554774404061</v>
      </c>
      <c r="F58" s="41">
        <f t="shared" ca="1" si="13"/>
        <v>2862.7436868046316</v>
      </c>
      <c r="G58" s="41">
        <f t="shared" ca="1" si="14"/>
        <v>921.07562961009285</v>
      </c>
      <c r="H58" s="41">
        <f t="shared" ca="1" si="5"/>
        <v>86.102035560033841</v>
      </c>
      <c r="I58" s="45">
        <f t="shared" ca="1" si="15"/>
        <v>2064.1994334069818</v>
      </c>
      <c r="J58" s="45">
        <f t="shared" ca="1" si="16"/>
        <v>1719.6198830077428</v>
      </c>
      <c r="R58" s="4">
        <f t="shared" si="17"/>
        <v>1900</v>
      </c>
    </row>
    <row r="59" spans="1:18" x14ac:dyDescent="0.2">
      <c r="A59" s="4">
        <v>7</v>
      </c>
      <c r="B59" s="4">
        <f t="shared" si="10"/>
        <v>460</v>
      </c>
      <c r="C59" s="16">
        <f t="shared" ca="1" si="9"/>
        <v>2397.2349769546354</v>
      </c>
      <c r="D59" s="16">
        <f t="shared" ca="1" si="11"/>
        <v>1912.1317536196909</v>
      </c>
      <c r="E59" s="41">
        <f t="shared" ca="1" si="12"/>
        <v>484.57619538708195</v>
      </c>
      <c r="F59" s="41">
        <f t="shared" ca="1" si="13"/>
        <v>2881.76648092084</v>
      </c>
      <c r="G59" s="41">
        <f t="shared" ca="1" si="14"/>
        <v>942.49702631854211</v>
      </c>
      <c r="H59" s="41">
        <f t="shared" ca="1" si="5"/>
        <v>82.657955059817979</v>
      </c>
      <c r="I59" s="45">
        <f t="shared" ca="1" si="15"/>
        <v>2077.5299396566147</v>
      </c>
      <c r="J59" s="45">
        <f t="shared" ca="1" si="16"/>
        <v>1746.7335675827674</v>
      </c>
      <c r="R59" s="4">
        <f t="shared" si="17"/>
        <v>1920</v>
      </c>
    </row>
    <row r="60" spans="1:18" x14ac:dyDescent="0.2">
      <c r="A60" s="4">
        <v>8</v>
      </c>
      <c r="B60" s="4">
        <f t="shared" si="10"/>
        <v>470</v>
      </c>
      <c r="C60" s="16">
        <f t="shared" ca="1" si="9"/>
        <v>2136.2440661927299</v>
      </c>
      <c r="D60" s="16">
        <f t="shared" ca="1" si="11"/>
        <v>1932.3538490320198</v>
      </c>
      <c r="E60" s="41">
        <f t="shared" ca="1" si="12"/>
        <v>484.00060901859894</v>
      </c>
      <c r="F60" s="41">
        <f t="shared" ca="1" si="13"/>
        <v>2900.8368306701436</v>
      </c>
      <c r="G60" s="41">
        <f t="shared" ca="1" si="14"/>
        <v>963.87086739389599</v>
      </c>
      <c r="H60" s="41">
        <f t="shared" ca="1" si="5"/>
        <v>79.213874600515382</v>
      </c>
      <c r="I60" s="45">
        <f t="shared" ca="1" si="15"/>
        <v>2090.8604459881149</v>
      </c>
      <c r="J60" s="45">
        <f t="shared" ca="1" si="16"/>
        <v>1773.8472520759246</v>
      </c>
      <c r="R60" s="4">
        <f t="shared" si="17"/>
        <v>1940</v>
      </c>
    </row>
    <row r="61" spans="1:18" x14ac:dyDescent="0.2">
      <c r="A61" s="4">
        <v>9</v>
      </c>
      <c r="B61" s="4">
        <f t="shared" si="10"/>
        <v>480</v>
      </c>
      <c r="C61" s="16">
        <f t="shared" ca="1" si="9"/>
        <v>1133.2137613135201</v>
      </c>
      <c r="D61" s="16">
        <f t="shared" ca="1" si="11"/>
        <v>1952.5759444443484</v>
      </c>
      <c r="E61" s="41">
        <f t="shared" ca="1" si="12"/>
        <v>483.44887352479753</v>
      </c>
      <c r="F61" s="41">
        <f t="shared" ca="1" si="13"/>
        <v>2919.9549059094484</v>
      </c>
      <c r="G61" s="41">
        <f t="shared" ca="1" si="14"/>
        <v>985.19698297924845</v>
      </c>
      <c r="H61" s="41">
        <f t="shared" ca="1" si="5"/>
        <v>75.769794187705159</v>
      </c>
      <c r="I61" s="45">
        <f t="shared" ca="1" si="15"/>
        <v>2104.1909524126459</v>
      </c>
      <c r="J61" s="45">
        <f t="shared" ca="1" si="16"/>
        <v>1800.9609364760508</v>
      </c>
      <c r="R61" s="4">
        <f t="shared" si="17"/>
        <v>1960</v>
      </c>
    </row>
    <row r="62" spans="1:18" x14ac:dyDescent="0.2">
      <c r="A62" s="4">
        <v>10</v>
      </c>
      <c r="B62" s="4">
        <f t="shared" si="10"/>
        <v>490</v>
      </c>
      <c r="C62" s="16">
        <f t="shared" ca="1" si="9"/>
        <v>2452.3202787611722</v>
      </c>
      <c r="D62" s="16">
        <f t="shared" ca="1" si="11"/>
        <v>1972.798039856677</v>
      </c>
      <c r="E62" s="41">
        <f t="shared" ca="1" si="12"/>
        <v>482.92107065428661</v>
      </c>
      <c r="F62" s="41">
        <f t="shared" ca="1" si="13"/>
        <v>2939.1208702173426</v>
      </c>
      <c r="G62" s="41">
        <f t="shared" ca="1" si="14"/>
        <v>1006.4752094960112</v>
      </c>
      <c r="H62" s="41">
        <f t="shared" ca="1" si="5"/>
        <v>72.325713828029038</v>
      </c>
      <c r="I62" s="45">
        <f t="shared" ca="1" si="15"/>
        <v>2117.5214589434977</v>
      </c>
      <c r="J62" s="45">
        <f t="shared" ca="1" si="16"/>
        <v>1828.074620769856</v>
      </c>
      <c r="R62" s="4">
        <f t="shared" si="17"/>
        <v>1980</v>
      </c>
    </row>
    <row r="63" spans="1:18" x14ac:dyDescent="0.2">
      <c r="A63" s="4">
        <v>11</v>
      </c>
      <c r="B63" s="4">
        <f t="shared" si="10"/>
        <v>500</v>
      </c>
      <c r="C63" s="16">
        <f t="shared" ca="1" si="9"/>
        <v>1523.505921437692</v>
      </c>
      <c r="D63" s="16">
        <f t="shared" ca="1" si="11"/>
        <v>1993.0201352690056</v>
      </c>
      <c r="E63" s="41">
        <f t="shared" ca="1" si="12"/>
        <v>482.41727895965226</v>
      </c>
      <c r="F63" s="41">
        <f t="shared" ca="1" si="13"/>
        <v>2958.334880777189</v>
      </c>
      <c r="G63" s="41">
        <f t="shared" ca="1" si="14"/>
        <v>1027.7053897608223</v>
      </c>
      <c r="H63" s="41">
        <f t="shared" ca="1" si="5"/>
        <v>68.881633529457162</v>
      </c>
      <c r="I63" s="45">
        <f t="shared" ca="1" si="15"/>
        <v>2130.8519655966193</v>
      </c>
      <c r="J63" s="45">
        <f t="shared" ca="1" si="16"/>
        <v>1855.1883049413918</v>
      </c>
      <c r="R63" s="4">
        <f t="shared" si="17"/>
        <v>2000</v>
      </c>
    </row>
    <row r="64" spans="1:18" x14ac:dyDescent="0.2">
      <c r="A64" s="4">
        <v>12</v>
      </c>
      <c r="B64" s="4">
        <f t="shared" si="10"/>
        <v>510</v>
      </c>
      <c r="C64" s="16">
        <f t="shared" ca="1" si="9"/>
        <v>2511.8371190784615</v>
      </c>
      <c r="D64" s="16">
        <f t="shared" ca="1" si="11"/>
        <v>2013.2422306813341</v>
      </c>
      <c r="E64" s="41">
        <f t="shared" ca="1" si="12"/>
        <v>481.93757374088727</v>
      </c>
      <c r="F64" s="41">
        <f t="shared" ca="1" si="13"/>
        <v>2977.597088263924</v>
      </c>
      <c r="G64" s="41">
        <f t="shared" ca="1" si="14"/>
        <v>1048.8873730987445</v>
      </c>
      <c r="H64" s="41">
        <f t="shared" ca="1" si="5"/>
        <v>65.43755330163755</v>
      </c>
      <c r="I64" s="45">
        <f t="shared" ca="1" si="15"/>
        <v>2144.1824723913155</v>
      </c>
      <c r="J64" s="45">
        <f t="shared" ca="1" si="16"/>
        <v>1882.3019889713528</v>
      </c>
      <c r="R64" s="4">
        <f t="shared" si="17"/>
        <v>2020</v>
      </c>
    </row>
    <row r="65" spans="1:18" x14ac:dyDescent="0.2">
      <c r="A65" s="4">
        <v>13</v>
      </c>
      <c r="B65" s="4">
        <f t="shared" si="10"/>
        <v>520</v>
      </c>
      <c r="C65" s="16">
        <f t="shared" ca="1" si="9"/>
        <v>1468.8982578124374</v>
      </c>
      <c r="D65" s="16">
        <f t="shared" ca="1" si="11"/>
        <v>2033.4643260936627</v>
      </c>
      <c r="E65" s="41">
        <f t="shared" ca="1" si="12"/>
        <v>481.48202699076637</v>
      </c>
      <c r="F65" s="41">
        <f t="shared" ca="1" si="13"/>
        <v>2996.9076367347575</v>
      </c>
      <c r="G65" s="41">
        <f t="shared" ca="1" si="14"/>
        <v>1070.021015452568</v>
      </c>
      <c r="H65" s="41">
        <f t="shared" ca="1" si="5"/>
        <v>61.993473156362242</v>
      </c>
      <c r="I65" s="45">
        <f t="shared" ca="1" si="15"/>
        <v>2157.5129793511828</v>
      </c>
      <c r="J65" s="45">
        <f t="shared" ca="1" si="16"/>
        <v>1909.4156728361427</v>
      </c>
      <c r="R65" s="4">
        <f t="shared" si="17"/>
        <v>2040</v>
      </c>
    </row>
    <row r="66" spans="1:18" x14ac:dyDescent="0.2">
      <c r="A66" s="4">
        <v>14</v>
      </c>
      <c r="B66" s="4">
        <f t="shared" si="10"/>
        <v>530</v>
      </c>
      <c r="C66" s="16">
        <f t="shared" ca="1" si="9"/>
        <v>1757.3030415246344</v>
      </c>
      <c r="D66" s="16">
        <f t="shared" ca="1" si="11"/>
        <v>2053.6864215059913</v>
      </c>
      <c r="E66" s="41">
        <f t="shared" ca="1" si="12"/>
        <v>481.05070734225802</v>
      </c>
      <c r="F66" s="41">
        <f t="shared" ca="1" si="13"/>
        <v>3016.266663523942</v>
      </c>
      <c r="G66" s="41">
        <f t="shared" ca="1" si="14"/>
        <v>1091.1061794880407</v>
      </c>
      <c r="H66" s="41">
        <f t="shared" ca="1" si="5"/>
        <v>58.549393108197869</v>
      </c>
      <c r="I66" s="45">
        <f t="shared" ca="1" si="15"/>
        <v>2170.8434865053682</v>
      </c>
      <c r="J66" s="45">
        <f t="shared" ca="1" si="16"/>
        <v>1936.5293565066142</v>
      </c>
      <c r="R66" s="4">
        <f t="shared" si="17"/>
        <v>2060</v>
      </c>
    </row>
    <row r="67" spans="1:18" x14ac:dyDescent="0.2">
      <c r="A67" s="4">
        <v>15</v>
      </c>
      <c r="B67" s="4">
        <f t="shared" si="10"/>
        <v>540</v>
      </c>
      <c r="C67" s="16">
        <f t="shared" ca="1" si="9"/>
        <v>2323.5721357141474</v>
      </c>
      <c r="D67" s="16">
        <f t="shared" ca="1" si="11"/>
        <v>2073.9085169183199</v>
      </c>
      <c r="E67" s="41">
        <f t="shared" ca="1" si="12"/>
        <v>480.64368001805894</v>
      </c>
      <c r="F67" s="41">
        <f t="shared" ca="1" si="13"/>
        <v>3035.6742991417927</v>
      </c>
      <c r="G67" s="41">
        <f t="shared" ca="1" si="14"/>
        <v>1112.1427346948471</v>
      </c>
      <c r="H67" s="41">
        <f t="shared" ca="1" si="5"/>
        <v>55.105313175352734</v>
      </c>
      <c r="I67" s="45">
        <f t="shared" ca="1" si="15"/>
        <v>2184.1739938903074</v>
      </c>
      <c r="J67" s="45">
        <f t="shared" ca="1" si="16"/>
        <v>1963.6430399463325</v>
      </c>
      <c r="R67" s="4">
        <f t="shared" si="17"/>
        <v>2080</v>
      </c>
    </row>
    <row r="68" spans="1:18" x14ac:dyDescent="0.2">
      <c r="A68" s="4">
        <v>16</v>
      </c>
      <c r="B68" s="4">
        <f t="shared" si="10"/>
        <v>550</v>
      </c>
      <c r="C68" s="16">
        <f t="shared" ca="1" si="9"/>
        <v>2450.3347038428401</v>
      </c>
      <c r="D68" s="16">
        <f t="shared" ca="1" si="11"/>
        <v>2094.1306123306485</v>
      </c>
      <c r="E68" s="41">
        <f t="shared" ca="1" si="12"/>
        <v>480.26100678233638</v>
      </c>
      <c r="F68" s="41">
        <f t="shared" ca="1" si="13"/>
        <v>3055.1306671781222</v>
      </c>
      <c r="G68" s="41">
        <f t="shared" ca="1" si="14"/>
        <v>1133.1305574831747</v>
      </c>
      <c r="H68" s="41">
        <f t="shared" ca="1" si="5"/>
        <v>51.661233380890664</v>
      </c>
      <c r="I68" s="45">
        <f t="shared" ca="1" si="15"/>
        <v>2197.50450155215</v>
      </c>
      <c r="J68" s="45">
        <f t="shared" ca="1" si="16"/>
        <v>1990.7567231091471</v>
      </c>
      <c r="R68" s="4">
        <f t="shared" si="17"/>
        <v>2100</v>
      </c>
    </row>
    <row r="69" spans="1:18" x14ac:dyDescent="0.2">
      <c r="A69" s="4">
        <v>17</v>
      </c>
      <c r="B69" s="4">
        <f t="shared" si="10"/>
        <v>560</v>
      </c>
      <c r="C69" s="16">
        <f t="shared" ca="1" si="9"/>
        <v>1618.1702653837306</v>
      </c>
      <c r="D69" s="16">
        <f t="shared" ca="1" si="11"/>
        <v>2114.3527077429771</v>
      </c>
      <c r="E69" s="41">
        <f t="shared" ca="1" si="12"/>
        <v>479.90274589475962</v>
      </c>
      <c r="F69" s="41">
        <f t="shared" ca="1" si="13"/>
        <v>3074.63588421026</v>
      </c>
      <c r="G69" s="41">
        <f t="shared" ca="1" si="14"/>
        <v>1154.0695312756943</v>
      </c>
      <c r="H69" s="41">
        <f t="shared" ca="1" si="5"/>
        <v>48.217153754465137</v>
      </c>
      <c r="I69" s="45">
        <f t="shared" ca="1" si="15"/>
        <v>2210.8350095502333</v>
      </c>
      <c r="J69" s="45">
        <f t="shared" ca="1" si="16"/>
        <v>2017.870405935721</v>
      </c>
      <c r="R69" s="4">
        <f t="shared" si="17"/>
        <v>2120</v>
      </c>
    </row>
    <row r="70" spans="1:18" x14ac:dyDescent="0.2">
      <c r="A70" s="4">
        <v>18</v>
      </c>
      <c r="B70" s="4">
        <f t="shared" si="10"/>
        <v>570</v>
      </c>
      <c r="C70" s="16">
        <f t="shared" ca="1" si="9"/>
        <v>3303.8815551093785</v>
      </c>
      <c r="D70" s="16">
        <f t="shared" ca="1" si="11"/>
        <v>2134.5748031553057</v>
      </c>
      <c r="E70" s="41">
        <f t="shared" ca="1" si="12"/>
        <v>479.56895206689813</v>
      </c>
      <c r="F70" s="41">
        <f t="shared" ca="1" si="13"/>
        <v>3094.1900597158033</v>
      </c>
      <c r="G70" s="41">
        <f t="shared" ca="1" si="14"/>
        <v>1174.9595465948082</v>
      </c>
      <c r="H70" s="41">
        <f t="shared" ca="1" si="5"/>
        <v>44.773074334853803</v>
      </c>
      <c r="I70" s="45">
        <f t="shared" ca="1" si="15"/>
        <v>2224.1655179621507</v>
      </c>
      <c r="J70" s="45">
        <f t="shared" ca="1" si="16"/>
        <v>2044.9840883484608</v>
      </c>
      <c r="R70" s="4">
        <f t="shared" si="17"/>
        <v>2140</v>
      </c>
    </row>
    <row r="71" spans="1:18" x14ac:dyDescent="0.2">
      <c r="A71" s="4">
        <v>19</v>
      </c>
      <c r="B71" s="4">
        <f t="shared" si="10"/>
        <v>580</v>
      </c>
      <c r="C71" s="16">
        <f t="shared" ca="1" si="9"/>
        <v>2411.4037363647149</v>
      </c>
      <c r="D71" s="16">
        <f t="shared" ca="1" si="11"/>
        <v>2154.7968985676348</v>
      </c>
      <c r="E71" s="41">
        <f t="shared" ca="1" si="12"/>
        <v>479.25967642106212</v>
      </c>
      <c r="F71" s="41">
        <f t="shared" ca="1" si="13"/>
        <v>3113.7932959902591</v>
      </c>
      <c r="G71" s="41">
        <f t="shared" ca="1" si="14"/>
        <v>1195.8005011450102</v>
      </c>
      <c r="H71" s="41">
        <f t="shared" ca="1" si="5"/>
        <v>41.328995173760141</v>
      </c>
      <c r="I71" s="45">
        <f t="shared" ca="1" si="15"/>
        <v>2237.496026891361</v>
      </c>
      <c r="J71" s="45">
        <f t="shared" ca="1" si="16"/>
        <v>2072.0977702439086</v>
      </c>
      <c r="K71" s="16"/>
      <c r="R71" s="4">
        <f t="shared" si="17"/>
        <v>2160</v>
      </c>
    </row>
    <row r="72" spans="1:18" x14ac:dyDescent="0.2">
      <c r="A72" s="4">
        <v>20</v>
      </c>
      <c r="B72" s="4">
        <f t="shared" si="10"/>
        <v>590</v>
      </c>
      <c r="C72" s="16">
        <f t="shared" ca="1" si="9"/>
        <v>1578.4798921525344</v>
      </c>
      <c r="D72" s="16">
        <f t="shared" ca="1" si="11"/>
        <v>2175.0189939799634</v>
      </c>
      <c r="E72" s="41">
        <f t="shared" ca="1" si="12"/>
        <v>478.97496645165631</v>
      </c>
      <c r="F72" s="41">
        <f t="shared" ca="1" si="13"/>
        <v>3133.4456880697112</v>
      </c>
      <c r="G72" s="41">
        <f t="shared" ca="1" si="14"/>
        <v>1216.5922998902156</v>
      </c>
      <c r="H72" s="41">
        <f t="shared" ca="1" si="5"/>
        <v>37.8849163416889</v>
      </c>
      <c r="I72" s="45">
        <f t="shared" ca="1" si="15"/>
        <v>2250.8265364789436</v>
      </c>
      <c r="J72" s="45">
        <f t="shared" ca="1" si="16"/>
        <v>2099.2114514809832</v>
      </c>
      <c r="K72" s="16"/>
      <c r="R72" s="4">
        <f t="shared" si="17"/>
        <v>2180</v>
      </c>
    </row>
    <row r="73" spans="1:18" x14ac:dyDescent="0.2">
      <c r="A73" s="4">
        <v>21</v>
      </c>
      <c r="B73" s="4">
        <f t="shared" si="10"/>
        <v>600</v>
      </c>
      <c r="C73" s="16">
        <f t="shared" ca="1" si="9"/>
        <v>3020.3641539047771</v>
      </c>
      <c r="D73" s="16">
        <f t="shared" ca="1" si="11"/>
        <v>2195.241089392292</v>
      </c>
      <c r="E73" s="41">
        <f t="shared" ca="1" si="12"/>
        <v>478.71486598911372</v>
      </c>
      <c r="F73" s="41">
        <f t="shared" ca="1" si="13"/>
        <v>3153.1473236586535</v>
      </c>
      <c r="G73" s="41">
        <f t="shared" ca="1" si="14"/>
        <v>1237.3348551259305</v>
      </c>
      <c r="H73" s="41">
        <f t="shared" ca="1" si="5"/>
        <v>34.44083793734665</v>
      </c>
      <c r="I73" s="45">
        <f t="shared" ca="1" si="15"/>
        <v>2264.1570469224098</v>
      </c>
      <c r="J73" s="45">
        <f t="shared" ca="1" si="16"/>
        <v>2126.3251318621742</v>
      </c>
      <c r="K73" s="16"/>
      <c r="R73" s="4">
        <f t="shared" si="17"/>
        <v>2200</v>
      </c>
    </row>
    <row r="74" spans="1:18" x14ac:dyDescent="0.2">
      <c r="A74" s="4">
        <v>22</v>
      </c>
      <c r="B74" s="4">
        <f t="shared" si="10"/>
        <v>610</v>
      </c>
      <c r="C74" s="16">
        <f t="shared" ca="1" si="9"/>
        <v>1995.2347447464642</v>
      </c>
      <c r="D74" s="16">
        <f t="shared" ca="1" si="11"/>
        <v>2215.4631848046206</v>
      </c>
      <c r="E74" s="41">
        <f t="shared" ca="1" si="12"/>
        <v>478.47941516647364</v>
      </c>
      <c r="F74" s="41">
        <f t="shared" ca="1" si="13"/>
        <v>3172.8982830631121</v>
      </c>
      <c r="G74" s="41">
        <f t="shared" ca="1" si="14"/>
        <v>1258.0280865461291</v>
      </c>
      <c r="H74" s="41">
        <f t="shared" ca="1" si="5"/>
        <v>30.996760103309484</v>
      </c>
      <c r="I74" s="45">
        <f t="shared" ca="1" si="15"/>
        <v>2277.4875585070536</v>
      </c>
      <c r="J74" s="45">
        <f t="shared" ca="1" si="16"/>
        <v>2153.4388111021876</v>
      </c>
      <c r="K74" s="16"/>
      <c r="R74" s="4">
        <f t="shared" si="17"/>
        <v>2220</v>
      </c>
    </row>
    <row r="75" spans="1:18" x14ac:dyDescent="0.2">
      <c r="A75" s="4">
        <v>23</v>
      </c>
      <c r="B75" s="4">
        <f t="shared" si="10"/>
        <v>620</v>
      </c>
      <c r="C75" s="16">
        <f t="shared" ca="1" si="9"/>
        <v>2773.6555736099308</v>
      </c>
      <c r="D75" s="16">
        <f t="shared" ca="1" si="11"/>
        <v>2235.6852802169492</v>
      </c>
      <c r="E75" s="41">
        <f t="shared" ca="1" si="12"/>
        <v>478.26865038866168</v>
      </c>
      <c r="F75" s="41">
        <f t="shared" ca="1" si="13"/>
        <v>3192.6986391291753</v>
      </c>
      <c r="G75" s="41">
        <f t="shared" ca="1" si="14"/>
        <v>1278.6719213047231</v>
      </c>
      <c r="H75" s="41">
        <f t="shared" ca="1" si="5"/>
        <v>27.552683053441331</v>
      </c>
      <c r="I75" s="45">
        <f t="shared" ca="1" si="15"/>
        <v>2290.8180716608163</v>
      </c>
      <c r="J75" s="45">
        <f t="shared" ca="1" si="16"/>
        <v>2180.5524887730821</v>
      </c>
      <c r="K75" s="16"/>
      <c r="R75" s="4">
        <f t="shared" si="17"/>
        <v>2240</v>
      </c>
    </row>
    <row r="76" spans="1:18" x14ac:dyDescent="0.2">
      <c r="A76" s="4">
        <v>24</v>
      </c>
      <c r="B76" s="4">
        <f t="shared" si="10"/>
        <v>630</v>
      </c>
      <c r="C76" s="16">
        <f t="shared" ca="1" si="9"/>
        <v>1561.5008056185511</v>
      </c>
      <c r="D76" s="16">
        <f t="shared" ca="1" si="11"/>
        <v>2255.9073756292782</v>
      </c>
      <c r="E76" s="41">
        <f t="shared" ca="1" si="12"/>
        <v>478.08260430452697</v>
      </c>
      <c r="F76" s="41">
        <f t="shared" ca="1" si="13"/>
        <v>3212.5484571870393</v>
      </c>
      <c r="G76" s="41">
        <f t="shared" ca="1" si="14"/>
        <v>1299.2662940715172</v>
      </c>
      <c r="H76" s="41">
        <f t="shared" ca="1" si="5"/>
        <v>24.108607123813687</v>
      </c>
      <c r="I76" s="45">
        <f t="shared" ca="1" si="15"/>
        <v>2304.1485870561755</v>
      </c>
      <c r="J76" s="45">
        <f t="shared" ca="1" si="16"/>
        <v>2207.666164202381</v>
      </c>
      <c r="K76" s="16"/>
      <c r="R76" s="4">
        <f t="shared" si="17"/>
        <v>2260</v>
      </c>
    </row>
    <row r="77" spans="1:18" x14ac:dyDescent="0.2">
      <c r="A77" s="4">
        <v>25</v>
      </c>
      <c r="B77" s="4">
        <f t="shared" si="10"/>
        <v>640</v>
      </c>
      <c r="C77" s="16">
        <f t="shared" ca="1" si="9"/>
        <v>2228.0276699236042</v>
      </c>
      <c r="D77" s="16">
        <f t="shared" ca="1" si="11"/>
        <v>2276.1294710416068</v>
      </c>
      <c r="E77" s="41">
        <f t="shared" ca="1" si="12"/>
        <v>477.92130578168582</v>
      </c>
      <c r="F77" s="41">
        <f t="shared" ca="1" si="13"/>
        <v>3232.4477950006703</v>
      </c>
      <c r="G77" s="41">
        <f t="shared" ca="1" si="14"/>
        <v>1319.8111470825434</v>
      </c>
      <c r="H77" s="41">
        <f t="shared" ca="1" si="5"/>
        <v>20.664532874544719</v>
      </c>
      <c r="I77" s="45">
        <f t="shared" ca="1" si="15"/>
        <v>2317.479105813924</v>
      </c>
      <c r="J77" s="45">
        <f t="shared" ca="1" si="16"/>
        <v>2234.7798362692897</v>
      </c>
      <c r="K77" s="16"/>
      <c r="R77" s="4">
        <f t="shared" si="17"/>
        <v>2280</v>
      </c>
    </row>
    <row r="78" spans="1:18" x14ac:dyDescent="0.2">
      <c r="A78" s="4">
        <v>26</v>
      </c>
      <c r="B78" s="4">
        <f t="shared" si="10"/>
        <v>650</v>
      </c>
      <c r="C78" s="16">
        <f t="shared" ca="1" si="9"/>
        <v>3119.2167083016957</v>
      </c>
      <c r="D78" s="16">
        <f t="shared" ca="1" si="11"/>
        <v>2296.3515664539354</v>
      </c>
      <c r="E78" s="41">
        <f t="shared" ca="1" si="12"/>
        <v>477.78477988421747</v>
      </c>
      <c r="F78" s="41">
        <f t="shared" ca="1" si="13"/>
        <v>3252.3967027231756</v>
      </c>
      <c r="G78" s="41">
        <f t="shared" ca="1" si="14"/>
        <v>1340.3064301846953</v>
      </c>
      <c r="H78" s="41">
        <f t="shared" ca="1" si="5"/>
        <v>17.220461313844389</v>
      </c>
      <c r="I78" s="45">
        <f t="shared" ca="1" si="15"/>
        <v>2330.8096299514859</v>
      </c>
      <c r="J78" s="45">
        <f t="shared" ca="1" si="16"/>
        <v>2261.893502956385</v>
      </c>
      <c r="K78" s="16"/>
      <c r="R78" s="4">
        <f t="shared" si="17"/>
        <v>2300</v>
      </c>
    </row>
    <row r="79" spans="1:18" x14ac:dyDescent="0.2">
      <c r="A79" s="4">
        <v>27</v>
      </c>
      <c r="B79" s="4">
        <f t="shared" si="10"/>
        <v>660</v>
      </c>
      <c r="C79" s="16">
        <f t="shared" ca="1" si="9"/>
        <v>2817.6400369979633</v>
      </c>
      <c r="D79" s="16">
        <f t="shared" ca="1" si="11"/>
        <v>2316.573661866264</v>
      </c>
      <c r="E79" s="41">
        <f t="shared" ca="1" si="12"/>
        <v>477.67304785325109</v>
      </c>
      <c r="F79" s="41">
        <f t="shared" ca="1" si="13"/>
        <v>3272.395222857956</v>
      </c>
      <c r="G79" s="41">
        <f t="shared" ca="1" si="14"/>
        <v>1360.7521008745721</v>
      </c>
      <c r="H79" s="41">
        <f t="shared" ca="1" si="5"/>
        <v>13.776394458123484</v>
      </c>
      <c r="I79" s="45">
        <f t="shared" ca="1" si="15"/>
        <v>2344.14016350369</v>
      </c>
      <c r="J79" s="45">
        <f t="shared" ca="1" si="16"/>
        <v>2289.0071602288381</v>
      </c>
      <c r="K79" s="16"/>
      <c r="R79" s="4">
        <f t="shared" si="17"/>
        <v>2320</v>
      </c>
    </row>
    <row r="80" spans="1:18" x14ac:dyDescent="0.2">
      <c r="A80" s="4">
        <v>28</v>
      </c>
      <c r="B80" s="4">
        <f t="shared" si="10"/>
        <v>670</v>
      </c>
      <c r="C80" s="16">
        <f t="shared" ca="1" si="9"/>
        <v>2823.8606378230797</v>
      </c>
      <c r="D80" s="16">
        <f t="shared" ca="1" si="11"/>
        <v>2336.7957572785926</v>
      </c>
      <c r="E80" s="41">
        <f t="shared" ca="1" si="12"/>
        <v>477.58612709048015</v>
      </c>
      <c r="F80" s="41">
        <f t="shared" ca="1" si="13"/>
        <v>3292.4433902257197</v>
      </c>
      <c r="G80" s="41">
        <f t="shared" ca="1" si="14"/>
        <v>1381.1481243314654</v>
      </c>
      <c r="H80" s="41">
        <f t="shared" ca="1" si="5"/>
        <v>10.332337012300364</v>
      </c>
      <c r="I80" s="45">
        <f t="shared" ca="1" si="15"/>
        <v>2357.4707158850561</v>
      </c>
      <c r="J80" s="45">
        <f t="shared" ca="1" si="16"/>
        <v>2316.1207986721292</v>
      </c>
      <c r="K80" s="16"/>
      <c r="R80" s="4">
        <f t="shared" si="17"/>
        <v>2340</v>
      </c>
    </row>
    <row r="81" spans="1:18" x14ac:dyDescent="0.2">
      <c r="A81" s="4">
        <v>29</v>
      </c>
      <c r="B81" s="4">
        <f t="shared" si="10"/>
        <v>680</v>
      </c>
      <c r="C81" s="16">
        <f t="shared" ca="1" si="9"/>
        <v>2560.4815020768956</v>
      </c>
      <c r="D81" s="16">
        <f t="shared" ca="1" si="11"/>
        <v>2357.0178526909212</v>
      </c>
      <c r="E81" s="41">
        <f t="shared" ca="1" si="12"/>
        <v>477.52403114463249</v>
      </c>
      <c r="F81" s="41">
        <f t="shared" ca="1" si="13"/>
        <v>3312.5412319374095</v>
      </c>
      <c r="G81" s="41">
        <f t="shared" ca="1" si="14"/>
        <v>1401.494473444433</v>
      </c>
      <c r="H81" s="41">
        <f t="shared" ca="1" si="5"/>
        <v>6.8883030908505338</v>
      </c>
      <c r="I81" s="45">
        <f t="shared" ca="1" si="15"/>
        <v>2370.8013153385841</v>
      </c>
      <c r="J81" s="45">
        <f t="shared" ca="1" si="16"/>
        <v>2343.2343900432584</v>
      </c>
      <c r="K81" s="16"/>
      <c r="R81" s="4">
        <f t="shared" si="17"/>
        <v>2360</v>
      </c>
    </row>
    <row r="82" spans="1:18" x14ac:dyDescent="0.2">
      <c r="A82" s="4">
        <v>30</v>
      </c>
      <c r="B82" s="4">
        <f t="shared" si="10"/>
        <v>690</v>
      </c>
      <c r="C82" s="16">
        <f t="shared" ca="1" si="9"/>
        <v>2885.5155116884011</v>
      </c>
      <c r="D82" s="16">
        <f t="shared" ca="1" si="11"/>
        <v>2377.2399481032498</v>
      </c>
      <c r="E82" s="41">
        <f t="shared" ca="1" si="12"/>
        <v>477.48676970092203</v>
      </c>
      <c r="F82" s="41">
        <f t="shared" ca="1" si="13"/>
        <v>3332.6887673730926</v>
      </c>
      <c r="G82" s="41">
        <f t="shared" ca="1" si="14"/>
        <v>1421.7911288334071</v>
      </c>
      <c r="H82" s="41">
        <f t="shared" ca="1" si="5"/>
        <v>3.4443632608687502</v>
      </c>
      <c r="I82" s="45">
        <f t="shared" ca="1" si="15"/>
        <v>2384.1321030687054</v>
      </c>
      <c r="J82" s="45">
        <f t="shared" ca="1" si="16"/>
        <v>2370.3477931377943</v>
      </c>
      <c r="K82" s="16"/>
      <c r="R82" s="4">
        <f t="shared" si="17"/>
        <v>2380</v>
      </c>
    </row>
    <row r="83" spans="1:18" x14ac:dyDescent="0.2">
      <c r="A83" s="4">
        <v>31</v>
      </c>
      <c r="B83" s="4">
        <f t="shared" si="10"/>
        <v>700</v>
      </c>
      <c r="C83" s="16">
        <f t="shared" ca="1" si="9"/>
        <v>2231.638421829326</v>
      </c>
      <c r="D83" s="16">
        <f t="shared" ca="1" si="11"/>
        <v>2397.4620435155784</v>
      </c>
      <c r="E83" s="41">
        <f t="shared" ca="1" si="12"/>
        <v>477.47434857350032</v>
      </c>
      <c r="F83" s="41">
        <f t="shared" ca="1" si="13"/>
        <v>3352.8860081668595</v>
      </c>
      <c r="G83" s="41">
        <f t="shared" ca="1" si="14"/>
        <v>1442.0380788642974</v>
      </c>
      <c r="H83" s="41">
        <f t="shared" ca="1" si="5"/>
        <v>4.4096938172707344E-2</v>
      </c>
      <c r="I83" s="45">
        <f t="shared" ca="1" si="15"/>
        <v>2397.55028128505</v>
      </c>
      <c r="J83" s="45">
        <f t="shared" ca="1" si="16"/>
        <v>2397.3738057461069</v>
      </c>
      <c r="K83" s="16"/>
      <c r="R83" s="4">
        <f t="shared" si="17"/>
        <v>2400</v>
      </c>
    </row>
    <row r="84" spans="1:18" x14ac:dyDescent="0.2">
      <c r="A84" s="4">
        <v>32</v>
      </c>
      <c r="B84" s="4">
        <f t="shared" si="10"/>
        <v>710</v>
      </c>
      <c r="C84" s="16">
        <f t="shared" ca="1" si="9"/>
        <v>1580.5301206913909</v>
      </c>
      <c r="D84" s="16">
        <f t="shared" ca="1" si="11"/>
        <v>2417.684138927907</v>
      </c>
      <c r="E84" s="41">
        <f t="shared" ca="1" si="12"/>
        <v>477.48676970092203</v>
      </c>
      <c r="F84" s="41">
        <f t="shared" ca="1" si="13"/>
        <v>3373.1329581977498</v>
      </c>
      <c r="G84" s="41">
        <f t="shared" ca="1" si="14"/>
        <v>1462.2353196580643</v>
      </c>
      <c r="H84" s="41">
        <f t="shared" ca="1" si="5"/>
        <v>3.4443632608687502</v>
      </c>
      <c r="I84" s="45">
        <f t="shared" ca="1" si="15"/>
        <v>2424.5762938933626</v>
      </c>
      <c r="J84" s="45">
        <f t="shared" ca="1" si="16"/>
        <v>2410.7919839624515</v>
      </c>
      <c r="K84" s="16"/>
      <c r="R84" s="4">
        <f t="shared" si="17"/>
        <v>2420</v>
      </c>
    </row>
    <row r="85" spans="1:18" x14ac:dyDescent="0.2">
      <c r="A85" s="4">
        <v>33</v>
      </c>
      <c r="B85" s="4">
        <f t="shared" si="10"/>
        <v>720</v>
      </c>
      <c r="C85" s="16">
        <f t="shared" ref="C85:C113" ca="1" si="18">IF(AND($B$15&gt;0,AVERAGE($R$53:$R$113)),_xlfn.NORM.INV(RAND(),R85,$B$15*ABS(AVERAGE($R$53:$R$113))),R85)</f>
        <v>2308.8190730995011</v>
      </c>
      <c r="D85" s="16">
        <f t="shared" ca="1" si="11"/>
        <v>2437.9062343402356</v>
      </c>
      <c r="E85" s="41">
        <f t="shared" ca="1" si="12"/>
        <v>477.52403114463249</v>
      </c>
      <c r="F85" s="41">
        <f t="shared" ca="1" si="13"/>
        <v>3393.4296135867239</v>
      </c>
      <c r="G85" s="41">
        <f t="shared" ca="1" si="14"/>
        <v>1482.3828550937474</v>
      </c>
      <c r="H85" s="41">
        <f t="shared" ca="1" si="5"/>
        <v>6.8883030908505338</v>
      </c>
      <c r="I85" s="45">
        <f t="shared" ca="1" si="15"/>
        <v>2451.6896969878985</v>
      </c>
      <c r="J85" s="45">
        <f t="shared" ca="1" si="16"/>
        <v>2424.1227716925728</v>
      </c>
      <c r="K85" s="16"/>
      <c r="R85" s="4">
        <f t="shared" si="17"/>
        <v>2440</v>
      </c>
    </row>
    <row r="86" spans="1:18" x14ac:dyDescent="0.2">
      <c r="A86" s="4">
        <v>34</v>
      </c>
      <c r="B86" s="4">
        <f t="shared" si="10"/>
        <v>730</v>
      </c>
      <c r="C86" s="16">
        <f t="shared" ca="1" si="18"/>
        <v>2730.8171316911062</v>
      </c>
      <c r="D86" s="16">
        <f t="shared" ca="1" si="11"/>
        <v>2458.1283297525642</v>
      </c>
      <c r="E86" s="41">
        <f t="shared" ca="1" si="12"/>
        <v>477.58612709048015</v>
      </c>
      <c r="F86" s="41">
        <f t="shared" ca="1" si="13"/>
        <v>3413.7759626996913</v>
      </c>
      <c r="G86" s="41">
        <f t="shared" ca="1" si="14"/>
        <v>1502.480696805437</v>
      </c>
      <c r="H86" s="41">
        <f t="shared" ca="1" si="5"/>
        <v>10.332337012300364</v>
      </c>
      <c r="I86" s="45">
        <f t="shared" ca="1" si="15"/>
        <v>2478.8032883590276</v>
      </c>
      <c r="J86" s="45">
        <f t="shared" ca="1" si="16"/>
        <v>2437.4533711461008</v>
      </c>
      <c r="K86" s="16"/>
      <c r="R86" s="4">
        <f t="shared" si="17"/>
        <v>2460</v>
      </c>
    </row>
    <row r="87" spans="1:18" x14ac:dyDescent="0.2">
      <c r="A87" s="4">
        <v>35</v>
      </c>
      <c r="B87" s="4">
        <f t="shared" si="10"/>
        <v>740</v>
      </c>
      <c r="C87" s="16">
        <f t="shared" ca="1" si="18"/>
        <v>2501.6776187313412</v>
      </c>
      <c r="D87" s="16">
        <f t="shared" ref="D87:D118" ca="1" si="19">TREND(Yперемен,Xперемен,B87)</f>
        <v>2478.3504251648928</v>
      </c>
      <c r="E87" s="41">
        <f t="shared" ref="E87:E118" ca="1" si="20">SQRT($E$15+$E$13*$E$13*(B87-$E$14)^2)</f>
        <v>477.67304785325109</v>
      </c>
      <c r="F87" s="41">
        <f t="shared" ref="F87:F118" ca="1" si="21">D87+$E$9*E87</f>
        <v>3434.1719861565848</v>
      </c>
      <c r="G87" s="41">
        <f t="shared" ref="G87:G118" ca="1" si="22">D87-$E$9*E87</f>
        <v>1522.5288641732009</v>
      </c>
      <c r="H87" s="41">
        <f t="shared" ref="H87:H143" ca="1" si="23">SQRT($E$16+$E$13*$E$13*(B87-$E$14)^2)</f>
        <v>13.776394458123484</v>
      </c>
      <c r="I87" s="45">
        <f t="shared" ref="I87:I118" ca="1" si="24">D87+$E$9*H87</f>
        <v>2505.9169268023188</v>
      </c>
      <c r="J87" s="45">
        <f t="shared" ref="J87:J118" ca="1" si="25">D87-$E$9*H87</f>
        <v>2450.7839235274669</v>
      </c>
      <c r="K87" s="16"/>
      <c r="R87" s="4">
        <f t="shared" ref="R87:R118" si="26">IF(OR(A87&lt;1,A87&gt;$B$13),NA(),$B$8*B87+$B$9)</f>
        <v>2480</v>
      </c>
    </row>
    <row r="88" spans="1:18" x14ac:dyDescent="0.2">
      <c r="A88" s="4">
        <v>36</v>
      </c>
      <c r="B88" s="4">
        <f t="shared" si="10"/>
        <v>750</v>
      </c>
      <c r="C88" s="16">
        <f t="shared" ca="1" si="18"/>
        <v>2193.4278930705532</v>
      </c>
      <c r="D88" s="16">
        <f t="shared" ca="1" si="19"/>
        <v>2498.5725205772214</v>
      </c>
      <c r="E88" s="41">
        <f t="shared" ca="1" si="20"/>
        <v>477.78477988421747</v>
      </c>
      <c r="F88" s="41">
        <f t="shared" ca="1" si="21"/>
        <v>3454.6176568464616</v>
      </c>
      <c r="G88" s="41">
        <f t="shared" ca="1" si="22"/>
        <v>1542.5273843079813</v>
      </c>
      <c r="H88" s="41">
        <f t="shared" ca="1" si="23"/>
        <v>17.220461313844389</v>
      </c>
      <c r="I88" s="45">
        <f t="shared" ca="1" si="24"/>
        <v>2533.0305840747719</v>
      </c>
      <c r="J88" s="45">
        <f t="shared" ca="1" si="25"/>
        <v>2464.114457079671</v>
      </c>
      <c r="K88" s="16"/>
      <c r="R88" s="4">
        <f t="shared" si="26"/>
        <v>2500</v>
      </c>
    </row>
    <row r="89" spans="1:18" x14ac:dyDescent="0.2">
      <c r="A89" s="4">
        <v>37</v>
      </c>
      <c r="B89" s="4">
        <f t="shared" si="10"/>
        <v>760</v>
      </c>
      <c r="C89" s="16">
        <f t="shared" ca="1" si="18"/>
        <v>2948.2452398421697</v>
      </c>
      <c r="D89" s="16">
        <f t="shared" ca="1" si="19"/>
        <v>2518.79461598955</v>
      </c>
      <c r="E89" s="41">
        <f t="shared" ca="1" si="20"/>
        <v>477.92130578168582</v>
      </c>
      <c r="F89" s="41">
        <f t="shared" ca="1" si="21"/>
        <v>3475.1129399486135</v>
      </c>
      <c r="G89" s="41">
        <f t="shared" ca="1" si="22"/>
        <v>1562.4762920304865</v>
      </c>
      <c r="H89" s="41">
        <f t="shared" ca="1" si="23"/>
        <v>20.664532874544719</v>
      </c>
      <c r="I89" s="45">
        <f t="shared" ca="1" si="24"/>
        <v>2560.1442507618672</v>
      </c>
      <c r="J89" s="45">
        <f t="shared" ca="1" si="25"/>
        <v>2477.4449812172329</v>
      </c>
      <c r="K89" s="16"/>
      <c r="R89" s="4">
        <f t="shared" si="26"/>
        <v>2520</v>
      </c>
    </row>
    <row r="90" spans="1:18" x14ac:dyDescent="0.2">
      <c r="A90" s="4">
        <v>38</v>
      </c>
      <c r="B90" s="4">
        <f t="shared" si="10"/>
        <v>770</v>
      </c>
      <c r="C90" s="16">
        <f t="shared" ca="1" si="18"/>
        <v>1684.5369684473533</v>
      </c>
      <c r="D90" s="16">
        <f t="shared" ca="1" si="19"/>
        <v>2539.0167114018786</v>
      </c>
      <c r="E90" s="41">
        <f t="shared" ca="1" si="20"/>
        <v>478.08260430452697</v>
      </c>
      <c r="F90" s="41">
        <f t="shared" ca="1" si="21"/>
        <v>3495.6577929596397</v>
      </c>
      <c r="G90" s="41">
        <f t="shared" ca="1" si="22"/>
        <v>1582.3756298441176</v>
      </c>
      <c r="H90" s="41">
        <f t="shared" ca="1" si="23"/>
        <v>24.108607123813687</v>
      </c>
      <c r="I90" s="45">
        <f t="shared" ca="1" si="24"/>
        <v>2587.2579228287759</v>
      </c>
      <c r="J90" s="45">
        <f t="shared" ca="1" si="25"/>
        <v>2490.7754999749814</v>
      </c>
      <c r="K90" s="16"/>
      <c r="R90" s="4">
        <f t="shared" si="26"/>
        <v>2540</v>
      </c>
    </row>
    <row r="91" spans="1:18" x14ac:dyDescent="0.2">
      <c r="A91" s="4">
        <v>39</v>
      </c>
      <c r="B91" s="4">
        <f t="shared" si="10"/>
        <v>780</v>
      </c>
      <c r="C91" s="16">
        <f t="shared" ca="1" si="18"/>
        <v>2134.8986237192071</v>
      </c>
      <c r="D91" s="16">
        <f t="shared" ca="1" si="19"/>
        <v>2559.2388068142077</v>
      </c>
      <c r="E91" s="41">
        <f t="shared" ca="1" si="20"/>
        <v>478.26865038866168</v>
      </c>
      <c r="F91" s="41">
        <f t="shared" ca="1" si="21"/>
        <v>3516.2521657264338</v>
      </c>
      <c r="G91" s="41">
        <f t="shared" ca="1" si="22"/>
        <v>1602.2254479019816</v>
      </c>
      <c r="H91" s="41">
        <f t="shared" ca="1" si="23"/>
        <v>27.552683053441331</v>
      </c>
      <c r="I91" s="45">
        <f t="shared" ca="1" si="24"/>
        <v>2614.3715982580748</v>
      </c>
      <c r="J91" s="45">
        <f t="shared" ca="1" si="25"/>
        <v>2504.1060153703406</v>
      </c>
      <c r="K91" s="16"/>
      <c r="R91" s="4">
        <f t="shared" si="26"/>
        <v>2560</v>
      </c>
    </row>
    <row r="92" spans="1:18" x14ac:dyDescent="0.2">
      <c r="A92" s="4">
        <v>40</v>
      </c>
      <c r="B92" s="4">
        <f t="shared" si="10"/>
        <v>790</v>
      </c>
      <c r="C92" s="16">
        <f t="shared" ca="1" si="18"/>
        <v>2439.3776776337581</v>
      </c>
      <c r="D92" s="16">
        <f t="shared" ca="1" si="19"/>
        <v>2579.4609022265363</v>
      </c>
      <c r="E92" s="41">
        <f t="shared" ca="1" si="20"/>
        <v>478.47941516647364</v>
      </c>
      <c r="F92" s="41">
        <f t="shared" ca="1" si="21"/>
        <v>3536.8960004850278</v>
      </c>
      <c r="G92" s="41">
        <f t="shared" ca="1" si="22"/>
        <v>1622.0258039680448</v>
      </c>
      <c r="H92" s="41">
        <f t="shared" ca="1" si="23"/>
        <v>30.996760103309484</v>
      </c>
      <c r="I92" s="45">
        <f t="shared" ca="1" si="24"/>
        <v>2641.4852759289693</v>
      </c>
      <c r="J92" s="45">
        <f t="shared" ca="1" si="25"/>
        <v>2517.4365285241033</v>
      </c>
      <c r="R92" s="4">
        <f t="shared" si="26"/>
        <v>2580</v>
      </c>
    </row>
    <row r="93" spans="1:18" x14ac:dyDescent="0.2">
      <c r="A93" s="4">
        <v>41</v>
      </c>
      <c r="B93" s="4">
        <f t="shared" si="10"/>
        <v>800</v>
      </c>
      <c r="C93" s="16">
        <f t="shared" ca="1" si="18"/>
        <v>2173.5061560319527</v>
      </c>
      <c r="D93" s="16">
        <f t="shared" ca="1" si="19"/>
        <v>2599.6829976388649</v>
      </c>
      <c r="E93" s="41">
        <f t="shared" ca="1" si="20"/>
        <v>478.71486598911372</v>
      </c>
      <c r="F93" s="41">
        <f t="shared" ca="1" si="21"/>
        <v>3557.5892319052264</v>
      </c>
      <c r="G93" s="41">
        <f t="shared" ca="1" si="22"/>
        <v>1641.7767633725034</v>
      </c>
      <c r="H93" s="41">
        <f t="shared" ca="1" si="23"/>
        <v>34.44083793734665</v>
      </c>
      <c r="I93" s="45">
        <f t="shared" ca="1" si="24"/>
        <v>2668.5989551689827</v>
      </c>
      <c r="J93" s="45">
        <f t="shared" ca="1" si="25"/>
        <v>2530.7670401087471</v>
      </c>
      <c r="R93" s="4">
        <f t="shared" si="26"/>
        <v>2600</v>
      </c>
    </row>
    <row r="94" spans="1:18" x14ac:dyDescent="0.2">
      <c r="A94" s="4">
        <v>42</v>
      </c>
      <c r="B94" s="4">
        <f t="shared" si="10"/>
        <v>810</v>
      </c>
      <c r="C94" s="16">
        <f t="shared" ca="1" si="18"/>
        <v>3006.4506867841897</v>
      </c>
      <c r="D94" s="16">
        <f t="shared" ca="1" si="19"/>
        <v>2619.9050930511935</v>
      </c>
      <c r="E94" s="41">
        <f t="shared" ca="1" si="20"/>
        <v>478.97496645165631</v>
      </c>
      <c r="F94" s="41">
        <f t="shared" ca="1" si="21"/>
        <v>3578.3317871409413</v>
      </c>
      <c r="G94" s="41">
        <f t="shared" ca="1" si="22"/>
        <v>1661.4783989614457</v>
      </c>
      <c r="H94" s="41">
        <f t="shared" ca="1" si="23"/>
        <v>37.8849163416889</v>
      </c>
      <c r="I94" s="45">
        <f t="shared" ca="1" si="24"/>
        <v>2695.7126355501737</v>
      </c>
      <c r="J94" s="45">
        <f t="shared" ca="1" si="25"/>
        <v>2544.0975505522133</v>
      </c>
      <c r="R94" s="4">
        <f t="shared" si="26"/>
        <v>2620</v>
      </c>
    </row>
    <row r="95" spans="1:18" x14ac:dyDescent="0.2">
      <c r="A95" s="4">
        <v>43</v>
      </c>
      <c r="B95" s="4">
        <f t="shared" si="10"/>
        <v>820</v>
      </c>
      <c r="C95" s="16">
        <f t="shared" ca="1" si="18"/>
        <v>2828.0876801492645</v>
      </c>
      <c r="D95" s="16">
        <f t="shared" ca="1" si="19"/>
        <v>2640.1271884635221</v>
      </c>
      <c r="E95" s="41">
        <f t="shared" ca="1" si="20"/>
        <v>479.25967642106212</v>
      </c>
      <c r="F95" s="41">
        <f t="shared" ca="1" si="21"/>
        <v>3599.1235858861464</v>
      </c>
      <c r="G95" s="41">
        <f t="shared" ca="1" si="22"/>
        <v>1681.1307910408975</v>
      </c>
      <c r="H95" s="41">
        <f t="shared" ca="1" si="23"/>
        <v>41.328995173760141</v>
      </c>
      <c r="I95" s="45">
        <f t="shared" ca="1" si="24"/>
        <v>2722.8263167872483</v>
      </c>
      <c r="J95" s="45">
        <f t="shared" ca="1" si="25"/>
        <v>2557.4280601397959</v>
      </c>
      <c r="R95" s="4">
        <f t="shared" si="26"/>
        <v>2640</v>
      </c>
    </row>
    <row r="96" spans="1:18" x14ac:dyDescent="0.2">
      <c r="A96" s="4">
        <v>44</v>
      </c>
      <c r="B96" s="4">
        <f t="shared" si="10"/>
        <v>830</v>
      </c>
      <c r="C96" s="16">
        <f t="shared" ca="1" si="18"/>
        <v>2581.9385201043801</v>
      </c>
      <c r="D96" s="16">
        <f t="shared" ca="1" si="19"/>
        <v>2660.3492838758511</v>
      </c>
      <c r="E96" s="41">
        <f t="shared" ca="1" si="20"/>
        <v>479.56895206689813</v>
      </c>
      <c r="F96" s="41">
        <f t="shared" ca="1" si="21"/>
        <v>3619.9645404363487</v>
      </c>
      <c r="G96" s="41">
        <f t="shared" ca="1" si="22"/>
        <v>1700.7340273153536</v>
      </c>
      <c r="H96" s="41">
        <f t="shared" ca="1" si="23"/>
        <v>44.773074334853803</v>
      </c>
      <c r="I96" s="45">
        <f t="shared" ca="1" si="24"/>
        <v>2749.9399986826961</v>
      </c>
      <c r="J96" s="45">
        <f t="shared" ca="1" si="25"/>
        <v>2570.7585690690062</v>
      </c>
      <c r="R96" s="4">
        <f t="shared" si="26"/>
        <v>2660</v>
      </c>
    </row>
    <row r="97" spans="1:18" x14ac:dyDescent="0.2">
      <c r="A97" s="4">
        <v>45</v>
      </c>
      <c r="B97" s="4">
        <f t="shared" si="10"/>
        <v>840</v>
      </c>
      <c r="C97" s="16">
        <f t="shared" ca="1" si="18"/>
        <v>2402.1603899607053</v>
      </c>
      <c r="D97" s="16">
        <f t="shared" ca="1" si="19"/>
        <v>2680.5713792881797</v>
      </c>
      <c r="E97" s="41">
        <f t="shared" ca="1" si="20"/>
        <v>479.90274589475962</v>
      </c>
      <c r="F97" s="41">
        <f t="shared" ca="1" si="21"/>
        <v>3640.8545557554626</v>
      </c>
      <c r="G97" s="41">
        <f t="shared" ca="1" si="22"/>
        <v>1720.2882028208969</v>
      </c>
      <c r="H97" s="41">
        <f t="shared" ca="1" si="23"/>
        <v>48.217153754465137</v>
      </c>
      <c r="I97" s="45">
        <f t="shared" ca="1" si="24"/>
        <v>2777.0536810954359</v>
      </c>
      <c r="J97" s="45">
        <f t="shared" ca="1" si="25"/>
        <v>2584.0890774809236</v>
      </c>
      <c r="R97" s="4">
        <f t="shared" si="26"/>
        <v>2680</v>
      </c>
    </row>
    <row r="98" spans="1:18" x14ac:dyDescent="0.2">
      <c r="A98" s="4">
        <v>46</v>
      </c>
      <c r="B98" s="4">
        <f t="shared" si="10"/>
        <v>850</v>
      </c>
      <c r="C98" s="16">
        <f t="shared" ca="1" si="18"/>
        <v>2520.4958694728748</v>
      </c>
      <c r="D98" s="16">
        <f t="shared" ca="1" si="19"/>
        <v>2700.7934747005083</v>
      </c>
      <c r="E98" s="41">
        <f t="shared" ca="1" si="20"/>
        <v>480.26100678233638</v>
      </c>
      <c r="F98" s="41">
        <f t="shared" ca="1" si="21"/>
        <v>3661.793529547982</v>
      </c>
      <c r="G98" s="41">
        <f t="shared" ca="1" si="22"/>
        <v>1739.7934198530345</v>
      </c>
      <c r="H98" s="41">
        <f t="shared" ca="1" si="23"/>
        <v>51.661233380890664</v>
      </c>
      <c r="I98" s="45">
        <f t="shared" ca="1" si="24"/>
        <v>2804.1673639220098</v>
      </c>
      <c r="J98" s="45">
        <f t="shared" ca="1" si="25"/>
        <v>2597.4195854790069</v>
      </c>
      <c r="R98" s="4">
        <f t="shared" si="26"/>
        <v>2700</v>
      </c>
    </row>
    <row r="99" spans="1:18" x14ac:dyDescent="0.2">
      <c r="A99" s="4">
        <v>47</v>
      </c>
      <c r="B99" s="4">
        <f t="shared" si="10"/>
        <v>860</v>
      </c>
      <c r="C99" s="16">
        <f t="shared" ca="1" si="18"/>
        <v>2978.5354217694239</v>
      </c>
      <c r="D99" s="16">
        <f t="shared" ca="1" si="19"/>
        <v>2721.0155701128369</v>
      </c>
      <c r="E99" s="41">
        <f t="shared" ca="1" si="20"/>
        <v>480.64368001805894</v>
      </c>
      <c r="F99" s="41">
        <f t="shared" ca="1" si="21"/>
        <v>3682.7813523363097</v>
      </c>
      <c r="G99" s="41">
        <f t="shared" ca="1" si="22"/>
        <v>1759.2497878893641</v>
      </c>
      <c r="H99" s="41">
        <f t="shared" ca="1" si="23"/>
        <v>55.105313175352734</v>
      </c>
      <c r="I99" s="45">
        <f t="shared" ca="1" si="24"/>
        <v>2831.2810470848244</v>
      </c>
      <c r="J99" s="45">
        <f t="shared" ca="1" si="25"/>
        <v>2610.7500931408495</v>
      </c>
      <c r="R99" s="4">
        <f t="shared" si="26"/>
        <v>2720</v>
      </c>
    </row>
    <row r="100" spans="1:18" x14ac:dyDescent="0.2">
      <c r="A100" s="4">
        <v>48</v>
      </c>
      <c r="B100" s="4">
        <f t="shared" si="10"/>
        <v>870</v>
      </c>
      <c r="C100" s="16">
        <f t="shared" ca="1" si="18"/>
        <v>3028.9827602462187</v>
      </c>
      <c r="D100" s="16">
        <f t="shared" ca="1" si="19"/>
        <v>2741.2376655251655</v>
      </c>
      <c r="E100" s="41">
        <f t="shared" ca="1" si="20"/>
        <v>481.05070734225802</v>
      </c>
      <c r="F100" s="41">
        <f t="shared" ca="1" si="21"/>
        <v>3703.8179075431162</v>
      </c>
      <c r="G100" s="41">
        <f t="shared" ca="1" si="22"/>
        <v>1778.6574235072148</v>
      </c>
      <c r="H100" s="41">
        <f t="shared" ca="1" si="23"/>
        <v>58.549393108197869</v>
      </c>
      <c r="I100" s="45">
        <f t="shared" ca="1" si="24"/>
        <v>2858.3947305245424</v>
      </c>
      <c r="J100" s="45">
        <f t="shared" ca="1" si="25"/>
        <v>2624.0806005257887</v>
      </c>
      <c r="R100" s="4">
        <f t="shared" si="26"/>
        <v>2740</v>
      </c>
    </row>
    <row r="101" spans="1:18" x14ac:dyDescent="0.2">
      <c r="A101" s="4">
        <v>49</v>
      </c>
      <c r="B101" s="4">
        <f t="shared" si="10"/>
        <v>880</v>
      </c>
      <c r="C101" s="16">
        <f t="shared" ca="1" si="18"/>
        <v>2511.6229221323829</v>
      </c>
      <c r="D101" s="16">
        <f t="shared" ca="1" si="19"/>
        <v>2761.4597609374941</v>
      </c>
      <c r="E101" s="41">
        <f t="shared" ca="1" si="20"/>
        <v>481.48202699076637</v>
      </c>
      <c r="F101" s="41">
        <f t="shared" ca="1" si="21"/>
        <v>3724.9030715785889</v>
      </c>
      <c r="G101" s="41">
        <f t="shared" ca="1" si="22"/>
        <v>1798.0164502963994</v>
      </c>
      <c r="H101" s="41">
        <f t="shared" ca="1" si="23"/>
        <v>61.993473156362242</v>
      </c>
      <c r="I101" s="45">
        <f t="shared" ca="1" si="24"/>
        <v>2885.5084141950142</v>
      </c>
      <c r="J101" s="45">
        <f t="shared" ca="1" si="25"/>
        <v>2637.4111076799741</v>
      </c>
      <c r="R101" s="4">
        <f t="shared" si="26"/>
        <v>2760</v>
      </c>
    </row>
    <row r="102" spans="1:18" x14ac:dyDescent="0.2">
      <c r="A102" s="4">
        <v>50</v>
      </c>
      <c r="B102" s="4">
        <f t="shared" si="10"/>
        <v>890</v>
      </c>
      <c r="C102" s="16">
        <f t="shared" ca="1" si="18"/>
        <v>2171.7840591292488</v>
      </c>
      <c r="D102" s="16">
        <f t="shared" ca="1" si="19"/>
        <v>2781.6818563498227</v>
      </c>
      <c r="E102" s="41">
        <f t="shared" ca="1" si="20"/>
        <v>481.93757374088727</v>
      </c>
      <c r="F102" s="41">
        <f t="shared" ca="1" si="21"/>
        <v>3746.0367139324126</v>
      </c>
      <c r="G102" s="41">
        <f t="shared" ca="1" si="22"/>
        <v>1817.3269987672331</v>
      </c>
      <c r="H102" s="41">
        <f t="shared" ca="1" si="23"/>
        <v>65.43755330163755</v>
      </c>
      <c r="I102" s="45">
        <f t="shared" ca="1" si="24"/>
        <v>2912.6220980598041</v>
      </c>
      <c r="J102" s="45">
        <f t="shared" ca="1" si="25"/>
        <v>2650.7416146398414</v>
      </c>
      <c r="R102" s="4">
        <f t="shared" si="26"/>
        <v>2780</v>
      </c>
    </row>
    <row r="103" spans="1:18" x14ac:dyDescent="0.2">
      <c r="A103" s="4">
        <v>51</v>
      </c>
      <c r="B103" s="4">
        <f t="shared" si="10"/>
        <v>900</v>
      </c>
      <c r="C103" s="16">
        <f t="shared" ca="1" si="18"/>
        <v>2844.4643774472788</v>
      </c>
      <c r="D103" s="16">
        <f t="shared" ca="1" si="19"/>
        <v>2801.9039517621513</v>
      </c>
      <c r="E103" s="41">
        <f t="shared" ca="1" si="20"/>
        <v>482.41727895965226</v>
      </c>
      <c r="F103" s="41">
        <f t="shared" ca="1" si="21"/>
        <v>3767.2186972703348</v>
      </c>
      <c r="G103" s="41">
        <f t="shared" ca="1" si="22"/>
        <v>1836.5892062539681</v>
      </c>
      <c r="H103" s="41">
        <f t="shared" ca="1" si="23"/>
        <v>68.881633529457162</v>
      </c>
      <c r="I103" s="45">
        <f t="shared" ca="1" si="24"/>
        <v>2939.7357820897651</v>
      </c>
      <c r="J103" s="45">
        <f t="shared" ca="1" si="25"/>
        <v>2664.0721214345376</v>
      </c>
      <c r="R103" s="4">
        <f t="shared" si="26"/>
        <v>2800</v>
      </c>
    </row>
    <row r="104" spans="1:18" x14ac:dyDescent="0.2">
      <c r="A104" s="4">
        <v>52</v>
      </c>
      <c r="B104" s="4">
        <f t="shared" si="10"/>
        <v>910</v>
      </c>
      <c r="C104" s="16">
        <f t="shared" ca="1" si="18"/>
        <v>2727.8738649453071</v>
      </c>
      <c r="D104" s="16">
        <f t="shared" ca="1" si="19"/>
        <v>2822.1260471744799</v>
      </c>
      <c r="E104" s="41">
        <f t="shared" ca="1" si="20"/>
        <v>482.92107065428661</v>
      </c>
      <c r="F104" s="41">
        <f t="shared" ca="1" si="21"/>
        <v>3788.4488775351456</v>
      </c>
      <c r="G104" s="41">
        <f t="shared" ca="1" si="22"/>
        <v>1855.8032168138143</v>
      </c>
      <c r="H104" s="41">
        <f t="shared" ca="1" si="23"/>
        <v>72.325713828029038</v>
      </c>
      <c r="I104" s="45">
        <f t="shared" ca="1" si="24"/>
        <v>2966.8494662613007</v>
      </c>
      <c r="J104" s="45">
        <f t="shared" ca="1" si="25"/>
        <v>2677.4026280876592</v>
      </c>
      <c r="R104" s="4">
        <f t="shared" si="26"/>
        <v>2820</v>
      </c>
    </row>
    <row r="105" spans="1:18" x14ac:dyDescent="0.2">
      <c r="A105" s="4">
        <v>53</v>
      </c>
      <c r="B105" s="4">
        <f t="shared" si="10"/>
        <v>920</v>
      </c>
      <c r="C105" s="16">
        <f t="shared" ca="1" si="18"/>
        <v>3370.5552934264138</v>
      </c>
      <c r="D105" s="16">
        <f t="shared" ca="1" si="19"/>
        <v>2842.3481425868085</v>
      </c>
      <c r="E105" s="41">
        <f t="shared" ca="1" si="20"/>
        <v>483.44887352479753</v>
      </c>
      <c r="F105" s="41">
        <f t="shared" ca="1" si="21"/>
        <v>3809.7271040519086</v>
      </c>
      <c r="G105" s="41">
        <f t="shared" ca="1" si="22"/>
        <v>1874.9691811217085</v>
      </c>
      <c r="H105" s="41">
        <f t="shared" ca="1" si="23"/>
        <v>75.769794187705159</v>
      </c>
      <c r="I105" s="45">
        <f t="shared" ca="1" si="24"/>
        <v>2993.963150555106</v>
      </c>
      <c r="J105" s="45">
        <f t="shared" ca="1" si="25"/>
        <v>2690.733134618511</v>
      </c>
      <c r="R105" s="4">
        <f t="shared" si="26"/>
        <v>2840</v>
      </c>
    </row>
    <row r="106" spans="1:18" x14ac:dyDescent="0.2">
      <c r="A106" s="4">
        <v>54</v>
      </c>
      <c r="B106" s="4">
        <f t="shared" si="10"/>
        <v>930</v>
      </c>
      <c r="C106" s="16">
        <f t="shared" ca="1" si="18"/>
        <v>2486.888185817706</v>
      </c>
      <c r="D106" s="16">
        <f t="shared" ca="1" si="19"/>
        <v>2862.5702379991371</v>
      </c>
      <c r="E106" s="41">
        <f t="shared" ca="1" si="20"/>
        <v>484.00060901859894</v>
      </c>
      <c r="F106" s="41">
        <f t="shared" ca="1" si="21"/>
        <v>3831.053219637261</v>
      </c>
      <c r="G106" s="41">
        <f t="shared" ca="1" si="22"/>
        <v>1894.0872563610133</v>
      </c>
      <c r="H106" s="41">
        <f t="shared" ca="1" si="23"/>
        <v>79.213874600515382</v>
      </c>
      <c r="I106" s="45">
        <f t="shared" ca="1" si="24"/>
        <v>3021.0768349552322</v>
      </c>
      <c r="J106" s="45">
        <f t="shared" ca="1" si="25"/>
        <v>2704.063641043042</v>
      </c>
      <c r="R106" s="4">
        <f t="shared" si="26"/>
        <v>2860</v>
      </c>
    </row>
    <row r="107" spans="1:18" x14ac:dyDescent="0.2">
      <c r="A107" s="4">
        <v>55</v>
      </c>
      <c r="B107" s="4">
        <f t="shared" si="10"/>
        <v>940</v>
      </c>
      <c r="C107" s="16">
        <f t="shared" ca="1" si="18"/>
        <v>2934.8693219428087</v>
      </c>
      <c r="D107" s="16">
        <f t="shared" ca="1" si="19"/>
        <v>2882.7923334114657</v>
      </c>
      <c r="E107" s="41">
        <f t="shared" ca="1" si="20"/>
        <v>484.57619538708195</v>
      </c>
      <c r="F107" s="41">
        <f t="shared" ca="1" si="21"/>
        <v>3852.4270607126145</v>
      </c>
      <c r="G107" s="41">
        <f t="shared" ca="1" si="22"/>
        <v>1913.1576061103169</v>
      </c>
      <c r="H107" s="41">
        <f t="shared" ca="1" si="23"/>
        <v>82.657955059817979</v>
      </c>
      <c r="I107" s="45">
        <f t="shared" ca="1" si="24"/>
        <v>3048.1905194483893</v>
      </c>
      <c r="J107" s="45">
        <f t="shared" ca="1" si="25"/>
        <v>2717.3941473745422</v>
      </c>
      <c r="R107" s="4">
        <f t="shared" si="26"/>
        <v>2880</v>
      </c>
    </row>
    <row r="108" spans="1:18" x14ac:dyDescent="0.2">
      <c r="A108" s="4">
        <v>56</v>
      </c>
      <c r="B108" s="4">
        <f t="shared" si="10"/>
        <v>950</v>
      </c>
      <c r="C108" s="16">
        <f t="shared" ca="1" si="18"/>
        <v>3190.614578073466</v>
      </c>
      <c r="D108" s="16">
        <f t="shared" ca="1" si="19"/>
        <v>2903.0144288237943</v>
      </c>
      <c r="E108" s="41">
        <f t="shared" ca="1" si="20"/>
        <v>485.17554774404061</v>
      </c>
      <c r="F108" s="41">
        <f t="shared" ca="1" si="21"/>
        <v>3873.8484574210638</v>
      </c>
      <c r="G108" s="41">
        <f t="shared" ca="1" si="22"/>
        <v>1932.1804002265249</v>
      </c>
      <c r="H108" s="41">
        <f t="shared" ca="1" si="23"/>
        <v>86.102035560033841</v>
      </c>
      <c r="I108" s="45">
        <f t="shared" ca="1" si="24"/>
        <v>3075.3042040234136</v>
      </c>
      <c r="J108" s="45">
        <f t="shared" ca="1" si="25"/>
        <v>2730.7246536241751</v>
      </c>
      <c r="R108" s="4">
        <f t="shared" si="26"/>
        <v>2900</v>
      </c>
    </row>
    <row r="109" spans="1:18" x14ac:dyDescent="0.2">
      <c r="A109" s="4">
        <v>57</v>
      </c>
      <c r="B109" s="4">
        <f t="shared" si="10"/>
        <v>960</v>
      </c>
      <c r="C109" s="16">
        <f t="shared" ca="1" si="18"/>
        <v>2683.2168934621623</v>
      </c>
      <c r="D109" s="16">
        <f t="shared" ca="1" si="19"/>
        <v>2923.2365242361229</v>
      </c>
      <c r="E109" s="41">
        <f t="shared" ca="1" si="20"/>
        <v>485.79857812585868</v>
      </c>
      <c r="F109" s="41">
        <f t="shared" ca="1" si="21"/>
        <v>3895.317233747819</v>
      </c>
      <c r="G109" s="41">
        <f t="shared" ca="1" si="22"/>
        <v>1951.1558147244268</v>
      </c>
      <c r="H109" s="41">
        <f t="shared" ca="1" si="23"/>
        <v>89.546116096442233</v>
      </c>
      <c r="I109" s="45">
        <f t="shared" ca="1" si="24"/>
        <v>3102.4178886708592</v>
      </c>
      <c r="J109" s="45">
        <f t="shared" ca="1" si="25"/>
        <v>2744.0551598013867</v>
      </c>
      <c r="K109" s="16"/>
      <c r="R109" s="4">
        <f t="shared" si="26"/>
        <v>2920</v>
      </c>
    </row>
    <row r="110" spans="1:18" x14ac:dyDescent="0.2">
      <c r="A110" s="4">
        <v>58</v>
      </c>
      <c r="B110" s="4">
        <f t="shared" si="10"/>
        <v>970</v>
      </c>
      <c r="C110" s="16">
        <f t="shared" ca="1" si="18"/>
        <v>3844.6661453510105</v>
      </c>
      <c r="D110" s="16">
        <f t="shared" ca="1" si="19"/>
        <v>2943.4586196484515</v>
      </c>
      <c r="E110" s="41">
        <f t="shared" ca="1" si="20"/>
        <v>486.44519555336132</v>
      </c>
      <c r="F110" s="41">
        <f t="shared" ca="1" si="21"/>
        <v>3916.8332076439715</v>
      </c>
      <c r="G110" s="41">
        <f t="shared" ca="1" si="22"/>
        <v>1970.0840316529316</v>
      </c>
      <c r="H110" s="41">
        <f t="shared" ca="1" si="23"/>
        <v>92.990196665021728</v>
      </c>
      <c r="I110" s="45">
        <f t="shared" ca="1" si="24"/>
        <v>3129.5315733826792</v>
      </c>
      <c r="J110" s="45">
        <f t="shared" ca="1" si="25"/>
        <v>2757.3856659142239</v>
      </c>
      <c r="K110" s="16"/>
      <c r="R110" s="4">
        <f t="shared" si="26"/>
        <v>2940</v>
      </c>
    </row>
    <row r="111" spans="1:18" x14ac:dyDescent="0.2">
      <c r="A111" s="4">
        <v>59</v>
      </c>
      <c r="B111" s="4">
        <f t="shared" si="10"/>
        <v>980</v>
      </c>
      <c r="C111" s="16">
        <f t="shared" ca="1" si="18"/>
        <v>3298.8263754429472</v>
      </c>
      <c r="D111" s="16">
        <f t="shared" ca="1" si="19"/>
        <v>2963.6807150607806</v>
      </c>
      <c r="E111" s="41">
        <f t="shared" ca="1" si="20"/>
        <v>487.11530609523612</v>
      </c>
      <c r="F111" s="41">
        <f t="shared" ca="1" si="21"/>
        <v>3938.3961911534002</v>
      </c>
      <c r="G111" s="41">
        <f t="shared" ca="1" si="22"/>
        <v>1988.965238968161</v>
      </c>
      <c r="H111" s="41">
        <f t="shared" ca="1" si="23"/>
        <v>96.434277262325438</v>
      </c>
      <c r="I111" s="45">
        <f t="shared" ca="1" si="24"/>
        <v>3156.6452581519766</v>
      </c>
      <c r="J111" s="45">
        <f t="shared" ca="1" si="25"/>
        <v>2770.7161719695846</v>
      </c>
      <c r="K111" s="16"/>
      <c r="R111" s="4">
        <f t="shared" si="26"/>
        <v>2960</v>
      </c>
    </row>
    <row r="112" spans="1:18" x14ac:dyDescent="0.2">
      <c r="A112" s="4">
        <v>60</v>
      </c>
      <c r="B112" s="4">
        <f t="shared" si="10"/>
        <v>990</v>
      </c>
      <c r="C112" s="16">
        <f t="shared" ca="1" si="18"/>
        <v>2359.3458770197135</v>
      </c>
      <c r="D112" s="16">
        <f t="shared" ca="1" si="19"/>
        <v>2983.9028104731092</v>
      </c>
      <c r="E112" s="41">
        <f t="shared" ca="1" si="20"/>
        <v>487.80881293292452</v>
      </c>
      <c r="F112" s="41">
        <f t="shared" ca="1" si="21"/>
        <v>3960.005990542616</v>
      </c>
      <c r="G112" s="41">
        <f t="shared" ca="1" si="22"/>
        <v>2007.7996304036024</v>
      </c>
      <c r="H112" s="41">
        <f t="shared" ca="1" si="23"/>
        <v>99.878357885381917</v>
      </c>
      <c r="I112" s="45">
        <f t="shared" ca="1" si="24"/>
        <v>3183.7589429728046</v>
      </c>
      <c r="J112" s="45">
        <f t="shared" ca="1" si="25"/>
        <v>2784.0466779734138</v>
      </c>
      <c r="K112" s="16"/>
      <c r="R112" s="4">
        <f t="shared" si="26"/>
        <v>2980</v>
      </c>
    </row>
    <row r="113" spans="1:18" x14ac:dyDescent="0.2">
      <c r="A113" s="4">
        <v>61</v>
      </c>
      <c r="B113" s="4">
        <f t="shared" si="10"/>
        <v>1000</v>
      </c>
      <c r="C113" s="16">
        <f t="shared" ca="1" si="18"/>
        <v>2775.868091539357</v>
      </c>
      <c r="D113" s="16">
        <f t="shared" ca="1" si="19"/>
        <v>3004.1249058854378</v>
      </c>
      <c r="E113" s="41">
        <f t="shared" ca="1" si="20"/>
        <v>488.52561642688505</v>
      </c>
      <c r="F113" s="41">
        <f t="shared" ca="1" si="21"/>
        <v>3981.6624064333573</v>
      </c>
      <c r="G113" s="41">
        <f t="shared" ca="1" si="22"/>
        <v>2026.5874053375182</v>
      </c>
      <c r="H113" s="41">
        <f t="shared" ca="1" si="23"/>
        <v>103.32243853161586</v>
      </c>
      <c r="I113" s="45">
        <f t="shared" ca="1" si="24"/>
        <v>3210.8726278400104</v>
      </c>
      <c r="J113" s="45">
        <f t="shared" ca="1" si="25"/>
        <v>2797.3771839308652</v>
      </c>
      <c r="K113" s="16"/>
      <c r="R113" s="4">
        <f t="shared" si="26"/>
        <v>3000</v>
      </c>
    </row>
    <row r="114" spans="1:18" x14ac:dyDescent="0.2">
      <c r="A114" s="4">
        <v>62</v>
      </c>
      <c r="B114" s="4">
        <f t="shared" si="10"/>
        <v>1010</v>
      </c>
      <c r="C114" s="99"/>
      <c r="D114" s="16">
        <f t="shared" ca="1" si="19"/>
        <v>3024.3470012977664</v>
      </c>
      <c r="E114" s="41">
        <f t="shared" ca="1" si="20"/>
        <v>489.26561418412894</v>
      </c>
      <c r="F114" s="41">
        <f t="shared" ca="1" si="21"/>
        <v>4003.3652339377268</v>
      </c>
      <c r="G114" s="41">
        <f t="shared" ca="1" si="22"/>
        <v>2045.3287686578062</v>
      </c>
      <c r="H114" s="41">
        <f t="shared" ca="1" si="23"/>
        <v>106.76651919878429</v>
      </c>
      <c r="I114" s="45">
        <f t="shared" ca="1" si="24"/>
        <v>3237.9863127491062</v>
      </c>
      <c r="J114" s="45">
        <f t="shared" ca="1" si="25"/>
        <v>2810.7076898464265</v>
      </c>
      <c r="R114" s="4" t="e">
        <f t="shared" si="26"/>
        <v>#N/A</v>
      </c>
    </row>
    <row r="115" spans="1:18" x14ac:dyDescent="0.2">
      <c r="A115" s="4">
        <v>63</v>
      </c>
      <c r="B115" s="4">
        <f t="shared" si="10"/>
        <v>1020</v>
      </c>
      <c r="C115" s="100"/>
      <c r="D115" s="16">
        <f t="shared" ca="1" si="19"/>
        <v>3044.569096710095</v>
      </c>
      <c r="E115" s="41">
        <f t="shared" ca="1" si="20"/>
        <v>490.02870112692733</v>
      </c>
      <c r="F115" s="41">
        <f t="shared" ca="1" si="21"/>
        <v>4025.1142627956742</v>
      </c>
      <c r="G115" s="41">
        <f t="shared" ca="1" si="22"/>
        <v>2064.0239306245157</v>
      </c>
      <c r="H115" s="41">
        <f t="shared" ca="1" si="23"/>
        <v>110.21059988492462</v>
      </c>
      <c r="I115" s="45">
        <f t="shared" ca="1" si="24"/>
        <v>3265.0999976961648</v>
      </c>
      <c r="J115" s="45">
        <f t="shared" ca="1" si="25"/>
        <v>2824.0381957240252</v>
      </c>
      <c r="R115" s="4" t="e">
        <f t="shared" si="26"/>
        <v>#N/A</v>
      </c>
    </row>
    <row r="116" spans="1:18" x14ac:dyDescent="0.2">
      <c r="A116" s="4">
        <v>64</v>
      </c>
      <c r="B116" s="4">
        <f t="shared" si="10"/>
        <v>1030</v>
      </c>
      <c r="C116" s="100"/>
      <c r="D116" s="16">
        <f t="shared" ca="1" si="19"/>
        <v>3064.7911921224236</v>
      </c>
      <c r="E116" s="41">
        <f t="shared" ca="1" si="20"/>
        <v>490.81476956259149</v>
      </c>
      <c r="F116" s="41">
        <f t="shared" ca="1" si="21"/>
        <v>4046.9092775146278</v>
      </c>
      <c r="G116" s="41">
        <f t="shared" ca="1" si="22"/>
        <v>2082.6731067302194</v>
      </c>
      <c r="H116" s="41">
        <f t="shared" ca="1" si="23"/>
        <v>113.6546805883121</v>
      </c>
      <c r="I116" s="45">
        <f t="shared" ca="1" si="24"/>
        <v>3292.2136826777346</v>
      </c>
      <c r="J116" s="45">
        <f t="shared" ca="1" si="25"/>
        <v>2837.3687015671126</v>
      </c>
      <c r="R116" s="4" t="e">
        <f t="shared" si="26"/>
        <v>#N/A</v>
      </c>
    </row>
    <row r="117" spans="1:18" x14ac:dyDescent="0.2">
      <c r="A117" s="4">
        <v>65</v>
      </c>
      <c r="B117" s="4">
        <f t="shared" si="10"/>
        <v>1040</v>
      </c>
      <c r="C117" s="100"/>
      <c r="D117" s="16">
        <f t="shared" ca="1" si="19"/>
        <v>3085.0132875347522</v>
      </c>
      <c r="E117" s="41">
        <f t="shared" ca="1" si="20"/>
        <v>491.62370925422402</v>
      </c>
      <c r="F117" s="41">
        <f t="shared" ca="1" si="21"/>
        <v>4068.7500575110653</v>
      </c>
      <c r="G117" s="41">
        <f t="shared" ca="1" si="22"/>
        <v>2101.2765175584391</v>
      </c>
      <c r="H117" s="41">
        <f t="shared" ca="1" si="23"/>
        <v>117.09876130742497</v>
      </c>
      <c r="I117" s="45">
        <f t="shared" ca="1" si="24"/>
        <v>3319.3273676907711</v>
      </c>
      <c r="J117" s="45">
        <f t="shared" ca="1" si="25"/>
        <v>2850.6992073787333</v>
      </c>
      <c r="R117" s="4" t="e">
        <f t="shared" si="26"/>
        <v>#N/A</v>
      </c>
    </row>
    <row r="118" spans="1:18" x14ac:dyDescent="0.2">
      <c r="A118" s="4">
        <v>66</v>
      </c>
      <c r="B118" s="4">
        <f t="shared" ref="B118:B143" si="27">$B$11+(A118-1)*$B$12</f>
        <v>1050</v>
      </c>
      <c r="C118" s="100"/>
      <c r="D118" s="16">
        <f t="shared" ca="1" si="19"/>
        <v>3105.2353829470808</v>
      </c>
      <c r="E118" s="41">
        <f t="shared" ca="1" si="20"/>
        <v>492.45540749234294</v>
      </c>
      <c r="F118" s="41">
        <f t="shared" ca="1" si="21"/>
        <v>4090.6363772538339</v>
      </c>
      <c r="G118" s="41">
        <f t="shared" ca="1" si="22"/>
        <v>2119.8343886403277</v>
      </c>
      <c r="H118" s="41">
        <f t="shared" ca="1" si="23"/>
        <v>120.54284204091527</v>
      </c>
      <c r="I118" s="45">
        <f t="shared" ca="1" si="24"/>
        <v>3346.4410527325763</v>
      </c>
      <c r="J118" s="45">
        <f t="shared" ca="1" si="25"/>
        <v>2864.0297131615853</v>
      </c>
      <c r="R118" s="4" t="e">
        <f t="shared" si="26"/>
        <v>#N/A</v>
      </c>
    </row>
    <row r="119" spans="1:18" x14ac:dyDescent="0.2">
      <c r="A119" s="4">
        <v>67</v>
      </c>
      <c r="B119" s="4">
        <f t="shared" si="27"/>
        <v>1060</v>
      </c>
      <c r="C119" s="100"/>
      <c r="D119" s="16">
        <f t="shared" ref="D119:D143" ca="1" si="28">TREND(Yперемен,Xперемен,B119)</f>
        <v>3125.4574783594098</v>
      </c>
      <c r="E119" s="41">
        <f t="shared" ref="E119:E143" ca="1" si="29">SQRT($E$15+$E$13*$E$13*(B119-$E$14)^2)</f>
        <v>493.30974916727831</v>
      </c>
      <c r="F119" s="41">
        <f t="shared" ref="F119:F143" ca="1" si="30">D119+$E$9*E119</f>
        <v>4112.5680064090166</v>
      </c>
      <c r="G119" s="41">
        <f t="shared" ref="G119:G143" ca="1" si="31">D119-$E$9*E119</f>
        <v>2138.3469503098027</v>
      </c>
      <c r="H119" s="41">
        <f t="shared" ca="1" si="23"/>
        <v>123.98692278758496</v>
      </c>
      <c r="I119" s="45">
        <f t="shared" ref="I119:I143" ca="1" si="32">D119+$E$9*H119</f>
        <v>3373.5547378007545</v>
      </c>
      <c r="J119" s="45">
        <f t="shared" ref="J119:J143" ca="1" si="33">D119-$E$9*H119</f>
        <v>2877.3602189180651</v>
      </c>
      <c r="R119" s="4" t="e">
        <f t="shared" ref="R119:R143" si="34">IF(OR(A119&lt;1,A119&gt;$B$13),NA(),$B$8*B119+$B$9)</f>
        <v>#N/A</v>
      </c>
    </row>
    <row r="120" spans="1:18" x14ac:dyDescent="0.2">
      <c r="A120" s="4">
        <v>68</v>
      </c>
      <c r="B120" s="4">
        <f t="shared" si="27"/>
        <v>1070</v>
      </c>
      <c r="C120" s="100"/>
      <c r="D120" s="16">
        <f t="shared" ca="1" si="28"/>
        <v>3145.6795737717384</v>
      </c>
      <c r="E120" s="41">
        <f t="shared" ca="1" si="29"/>
        <v>494.18661684224344</v>
      </c>
      <c r="F120" s="41">
        <f t="shared" ca="1" si="30"/>
        <v>4134.5447099861458</v>
      </c>
      <c r="G120" s="41">
        <f t="shared" ca="1" si="31"/>
        <v>2156.8144375573311</v>
      </c>
      <c r="H120" s="41">
        <f t="shared" ca="1" si="23"/>
        <v>127.43100354636537</v>
      </c>
      <c r="I120" s="45">
        <f t="shared" ca="1" si="32"/>
        <v>3400.6684228931654</v>
      </c>
      <c r="J120" s="45">
        <f t="shared" ca="1" si="33"/>
        <v>2890.6907246503115</v>
      </c>
      <c r="R120" s="4" t="e">
        <f t="shared" si="34"/>
        <v>#N/A</v>
      </c>
    </row>
    <row r="121" spans="1:18" x14ac:dyDescent="0.2">
      <c r="A121" s="4">
        <v>69</v>
      </c>
      <c r="B121" s="4">
        <f t="shared" si="27"/>
        <v>1080</v>
      </c>
      <c r="C121" s="100"/>
      <c r="D121" s="16">
        <f t="shared" ca="1" si="28"/>
        <v>3165.901669184067</v>
      </c>
      <c r="E121" s="41">
        <f t="shared" ca="1" si="29"/>
        <v>495.08589082698296</v>
      </c>
      <c r="F121" s="41">
        <f t="shared" ca="1" si="30"/>
        <v>4156.5662484855729</v>
      </c>
      <c r="G121" s="41">
        <f t="shared" ca="1" si="31"/>
        <v>2175.2370898825611</v>
      </c>
      <c r="H121" s="41">
        <f t="shared" ca="1" si="23"/>
        <v>130.87508431630044</v>
      </c>
      <c r="I121" s="45">
        <f t="shared" ca="1" si="32"/>
        <v>3427.7821080078966</v>
      </c>
      <c r="J121" s="45">
        <f t="shared" ca="1" si="33"/>
        <v>2904.0212303602375</v>
      </c>
      <c r="R121" s="4" t="e">
        <f t="shared" si="34"/>
        <v>#N/A</v>
      </c>
    </row>
    <row r="122" spans="1:18" x14ac:dyDescent="0.2">
      <c r="A122" s="4">
        <v>70</v>
      </c>
      <c r="B122" s="4">
        <f t="shared" si="27"/>
        <v>1090</v>
      </c>
      <c r="C122" s="100"/>
      <c r="D122" s="16">
        <f t="shared" ca="1" si="28"/>
        <v>3186.1237645963956</v>
      </c>
      <c r="E122" s="41">
        <f t="shared" ca="1" si="29"/>
        <v>496.00744925190179</v>
      </c>
      <c r="F122" s="41">
        <f t="shared" ca="1" si="30"/>
        <v>4178.6323780468028</v>
      </c>
      <c r="G122" s="41">
        <f t="shared" ca="1" si="31"/>
        <v>2193.6151511459884</v>
      </c>
      <c r="H122" s="41">
        <f t="shared" ca="1" si="23"/>
        <v>134.31916509653209</v>
      </c>
      <c r="I122" s="45">
        <f t="shared" ca="1" si="32"/>
        <v>3454.8957931432315</v>
      </c>
      <c r="J122" s="45">
        <f t="shared" ca="1" si="33"/>
        <v>2917.3517360495598</v>
      </c>
      <c r="R122" s="4" t="e">
        <f t="shared" si="34"/>
        <v>#N/A</v>
      </c>
    </row>
    <row r="123" spans="1:18" x14ac:dyDescent="0.2">
      <c r="A123" s="4">
        <v>71</v>
      </c>
      <c r="B123" s="4">
        <f t="shared" si="27"/>
        <v>1100</v>
      </c>
      <c r="C123" s="100"/>
      <c r="D123" s="16">
        <f t="shared" ca="1" si="28"/>
        <v>3206.3458600087242</v>
      </c>
      <c r="E123" s="41">
        <f t="shared" ca="1" si="29"/>
        <v>496.95116814257955</v>
      </c>
      <c r="F123" s="41">
        <f t="shared" ca="1" si="30"/>
        <v>4200.7428505975922</v>
      </c>
      <c r="G123" s="41">
        <f t="shared" ca="1" si="31"/>
        <v>2211.9488694198562</v>
      </c>
      <c r="H123" s="41">
        <f t="shared" ca="1" si="23"/>
        <v>137.7632458862881</v>
      </c>
      <c r="I123" s="45">
        <f t="shared" ca="1" si="32"/>
        <v>3482.0094782976244</v>
      </c>
      <c r="J123" s="45">
        <f t="shared" ca="1" si="33"/>
        <v>2930.6822417198241</v>
      </c>
      <c r="R123" s="4" t="e">
        <f t="shared" si="34"/>
        <v>#N/A</v>
      </c>
    </row>
    <row r="124" spans="1:18" x14ac:dyDescent="0.2">
      <c r="A124" s="4">
        <v>72</v>
      </c>
      <c r="B124" s="4">
        <f t="shared" si="27"/>
        <v>1110</v>
      </c>
      <c r="C124" s="100"/>
      <c r="D124" s="16">
        <f t="shared" ca="1" si="28"/>
        <v>3226.5679554210528</v>
      </c>
      <c r="E124" s="41">
        <f t="shared" ca="1" si="29"/>
        <v>497.9169214945768</v>
      </c>
      <c r="F124" s="41">
        <f t="shared" ca="1" si="30"/>
        <v>4222.8974140036407</v>
      </c>
      <c r="G124" s="41">
        <f t="shared" ca="1" si="31"/>
        <v>2230.2384968384654</v>
      </c>
      <c r="H124" s="41">
        <f t="shared" ca="1" si="23"/>
        <v>141.20732668487156</v>
      </c>
      <c r="I124" s="45">
        <f t="shared" ca="1" si="32"/>
        <v>3509.123163469681</v>
      </c>
      <c r="J124" s="45">
        <f t="shared" ca="1" si="33"/>
        <v>2944.0127473724247</v>
      </c>
      <c r="R124" s="4" t="e">
        <f t="shared" si="34"/>
        <v>#N/A</v>
      </c>
    </row>
    <row r="125" spans="1:18" x14ac:dyDescent="0.2">
      <c r="A125" s="4">
        <v>73</v>
      </c>
      <c r="B125" s="4">
        <f t="shared" si="27"/>
        <v>1120</v>
      </c>
      <c r="C125" s="100"/>
      <c r="D125" s="16">
        <f t="shared" ca="1" si="28"/>
        <v>3246.7900508333814</v>
      </c>
      <c r="E125" s="41">
        <f t="shared" ca="1" si="29"/>
        <v>498.90458134844226</v>
      </c>
      <c r="F125" s="41">
        <f t="shared" ca="1" si="30"/>
        <v>4245.0958122186767</v>
      </c>
      <c r="G125" s="41">
        <f t="shared" ca="1" si="31"/>
        <v>2248.4842894480857</v>
      </c>
      <c r="H125" s="41">
        <f t="shared" ca="1" si="23"/>
        <v>144.65140749165192</v>
      </c>
      <c r="I125" s="45">
        <f t="shared" ca="1" si="32"/>
        <v>3536.2368486581399</v>
      </c>
      <c r="J125" s="45">
        <f t="shared" ca="1" si="33"/>
        <v>2957.3432530086229</v>
      </c>
      <c r="R125" s="4" t="e">
        <f t="shared" si="34"/>
        <v>#N/A</v>
      </c>
    </row>
    <row r="126" spans="1:18" x14ac:dyDescent="0.2">
      <c r="A126" s="4">
        <v>74</v>
      </c>
      <c r="B126" s="4">
        <f t="shared" si="27"/>
        <v>1130</v>
      </c>
      <c r="C126" s="100"/>
      <c r="D126" s="16">
        <f t="shared" ca="1" si="28"/>
        <v>3267.01214624571</v>
      </c>
      <c r="E126" s="41">
        <f t="shared" ca="1" si="29"/>
        <v>499.9140178648305</v>
      </c>
      <c r="F126" s="41">
        <f t="shared" ca="1" si="30"/>
        <v>4267.3377854347718</v>
      </c>
      <c r="G126" s="41">
        <f t="shared" ca="1" si="31"/>
        <v>2266.6865070566482</v>
      </c>
      <c r="H126" s="41">
        <f t="shared" ca="1" si="23"/>
        <v>148.09548830605732</v>
      </c>
      <c r="I126" s="45">
        <f t="shared" ca="1" si="32"/>
        <v>3563.3505338618561</v>
      </c>
      <c r="J126" s="45">
        <f t="shared" ca="1" si="33"/>
        <v>2970.673758629564</v>
      </c>
      <c r="R126" s="4" t="e">
        <f t="shared" si="34"/>
        <v>#N/A</v>
      </c>
    </row>
    <row r="127" spans="1:18" x14ac:dyDescent="0.2">
      <c r="A127" s="4">
        <v>75</v>
      </c>
      <c r="B127" s="4">
        <f t="shared" si="27"/>
        <v>1140</v>
      </c>
      <c r="C127" s="100"/>
      <c r="D127" s="16">
        <f t="shared" ca="1" si="28"/>
        <v>3287.2342416580386</v>
      </c>
      <c r="E127" s="41">
        <f t="shared" ca="1" si="29"/>
        <v>500.94509939964223</v>
      </c>
      <c r="F127" s="41">
        <f t="shared" ca="1" si="30"/>
        <v>4289.6230702326911</v>
      </c>
      <c r="G127" s="41">
        <f t="shared" ca="1" si="31"/>
        <v>2284.8454130833861</v>
      </c>
      <c r="H127" s="41">
        <f t="shared" ca="1" si="23"/>
        <v>151.53956912756789</v>
      </c>
      <c r="I127" s="45">
        <f t="shared" ca="1" si="32"/>
        <v>3590.4642190797895</v>
      </c>
      <c r="J127" s="45">
        <f t="shared" ca="1" si="33"/>
        <v>2984.0042642362878</v>
      </c>
      <c r="R127" s="4" t="e">
        <f t="shared" si="34"/>
        <v>#N/A</v>
      </c>
    </row>
    <row r="128" spans="1:18" x14ac:dyDescent="0.2">
      <c r="A128" s="4">
        <v>76</v>
      </c>
      <c r="B128" s="4">
        <f t="shared" si="27"/>
        <v>1150</v>
      </c>
      <c r="C128" s="100"/>
      <c r="D128" s="16">
        <f t="shared" ca="1" si="28"/>
        <v>3307.4563370703672</v>
      </c>
      <c r="E128" s="41">
        <f t="shared" ca="1" si="29"/>
        <v>501.99769257910191</v>
      </c>
      <c r="F128" s="41">
        <f t="shared" ca="1" si="30"/>
        <v>4311.9513997321255</v>
      </c>
      <c r="G128" s="41">
        <f t="shared" ca="1" si="31"/>
        <v>2302.9612744086089</v>
      </c>
      <c r="H128" s="41">
        <f t="shared" ca="1" si="23"/>
        <v>154.98364995570989</v>
      </c>
      <c r="I128" s="45">
        <f t="shared" ca="1" si="32"/>
        <v>3617.5779043109928</v>
      </c>
      <c r="J128" s="45">
        <f t="shared" ca="1" si="33"/>
        <v>2997.3347698297416</v>
      </c>
      <c r="R128" s="4" t="e">
        <f t="shared" si="34"/>
        <v>#N/A</v>
      </c>
    </row>
    <row r="129" spans="1:18" x14ac:dyDescent="0.2">
      <c r="A129" s="4">
        <v>77</v>
      </c>
      <c r="B129" s="4">
        <f t="shared" si="27"/>
        <v>1160</v>
      </c>
      <c r="C129" s="100"/>
      <c r="D129" s="16">
        <f t="shared" ca="1" si="28"/>
        <v>3327.6784324826963</v>
      </c>
      <c r="E129" s="41">
        <f t="shared" ca="1" si="29"/>
        <v>503.07166237468925</v>
      </c>
      <c r="F129" s="41">
        <f t="shared" ca="1" si="30"/>
        <v>4334.3225037416314</v>
      </c>
      <c r="G129" s="41">
        <f t="shared" ca="1" si="31"/>
        <v>2321.0343612237612</v>
      </c>
      <c r="H129" s="41">
        <f t="shared" ca="1" si="23"/>
        <v>158.42773079005087</v>
      </c>
      <c r="I129" s="45">
        <f t="shared" ca="1" si="32"/>
        <v>3644.6915895546008</v>
      </c>
      <c r="J129" s="45">
        <f t="shared" ca="1" si="33"/>
        <v>3010.6652754107918</v>
      </c>
      <c r="R129" s="4" t="e">
        <f t="shared" si="34"/>
        <v>#N/A</v>
      </c>
    </row>
    <row r="130" spans="1:18" x14ac:dyDescent="0.2">
      <c r="A130" s="4">
        <v>78</v>
      </c>
      <c r="B130" s="4">
        <f t="shared" si="27"/>
        <v>1170</v>
      </c>
      <c r="C130" s="100"/>
      <c r="D130" s="16">
        <f t="shared" ca="1" si="28"/>
        <v>3347.9005278950249</v>
      </c>
      <c r="E130" s="41">
        <f t="shared" ca="1" si="29"/>
        <v>504.1668721778434</v>
      </c>
      <c r="F130" s="41">
        <f t="shared" ca="1" si="30"/>
        <v>4356.7361089081087</v>
      </c>
      <c r="G130" s="41">
        <f t="shared" ca="1" si="31"/>
        <v>2339.0649468819411</v>
      </c>
      <c r="H130" s="41">
        <f t="shared" ca="1" si="23"/>
        <v>161.8718116301952</v>
      </c>
      <c r="I130" s="45">
        <f t="shared" ca="1" si="32"/>
        <v>3671.8052748098203</v>
      </c>
      <c r="J130" s="45">
        <f t="shared" ca="1" si="33"/>
        <v>3023.9957809802295</v>
      </c>
      <c r="R130" s="4" t="e">
        <f t="shared" si="34"/>
        <v>#N/A</v>
      </c>
    </row>
    <row r="131" spans="1:18" x14ac:dyDescent="0.2">
      <c r="A131" s="4">
        <v>79</v>
      </c>
      <c r="B131" s="4">
        <f t="shared" si="27"/>
        <v>1180</v>
      </c>
      <c r="C131" s="100"/>
      <c r="D131" s="16">
        <f t="shared" ca="1" si="28"/>
        <v>3368.1226233073535</v>
      </c>
      <c r="E131" s="41">
        <f t="shared" ca="1" si="29"/>
        <v>505.2831838743619</v>
      </c>
      <c r="F131" s="41">
        <f t="shared" ca="1" si="30"/>
        <v>4379.191938865677</v>
      </c>
      <c r="G131" s="41">
        <f t="shared" ca="1" si="31"/>
        <v>2357.0533077490304</v>
      </c>
      <c r="H131" s="41">
        <f t="shared" ca="1" si="23"/>
        <v>165.31589247578009</v>
      </c>
      <c r="I131" s="45">
        <f t="shared" ca="1" si="32"/>
        <v>3698.9189600759264</v>
      </c>
      <c r="J131" s="45">
        <f t="shared" ca="1" si="33"/>
        <v>3037.3262865387806</v>
      </c>
      <c r="R131" s="4" t="e">
        <f t="shared" si="34"/>
        <v>#N/A</v>
      </c>
    </row>
    <row r="132" spans="1:18" x14ac:dyDescent="0.2">
      <c r="A132" s="4">
        <v>80</v>
      </c>
      <c r="B132" s="4">
        <f t="shared" si="27"/>
        <v>1190</v>
      </c>
      <c r="C132" s="100"/>
      <c r="D132" s="16">
        <f t="shared" ca="1" si="28"/>
        <v>3388.3447187196821</v>
      </c>
      <c r="E132" s="41">
        <f t="shared" ca="1" si="29"/>
        <v>506.42045791841804</v>
      </c>
      <c r="F132" s="41">
        <f t="shared" ca="1" si="30"/>
        <v>4401.6897143837814</v>
      </c>
      <c r="G132" s="41">
        <f t="shared" ca="1" si="31"/>
        <v>2374.9997230555828</v>
      </c>
      <c r="H132" s="41">
        <f t="shared" ca="1" si="23"/>
        <v>168.75997332647248</v>
      </c>
      <c r="I132" s="45">
        <f t="shared" ca="1" si="32"/>
        <v>3726.032645352253</v>
      </c>
      <c r="J132" s="45">
        <f t="shared" ca="1" si="33"/>
        <v>3050.6567920871112</v>
      </c>
      <c r="R132" s="4" t="e">
        <f t="shared" si="34"/>
        <v>#N/A</v>
      </c>
    </row>
    <row r="133" spans="1:18" x14ac:dyDescent="0.2">
      <c r="A133" s="4">
        <v>81</v>
      </c>
      <c r="B133" s="4">
        <f t="shared" si="27"/>
        <v>1200</v>
      </c>
      <c r="C133" s="100"/>
      <c r="D133" s="16">
        <f t="shared" ca="1" si="28"/>
        <v>3408.5668141320107</v>
      </c>
      <c r="E133" s="41">
        <f t="shared" ca="1" si="29"/>
        <v>507.57855340612451</v>
      </c>
      <c r="F133" s="41">
        <f t="shared" ca="1" si="30"/>
        <v>4424.229153514395</v>
      </c>
      <c r="G133" s="41">
        <f t="shared" ca="1" si="31"/>
        <v>2392.9044747496259</v>
      </c>
      <c r="H133" s="41">
        <f t="shared" ca="1" si="23"/>
        <v>172.20405418196594</v>
      </c>
      <c r="I133" s="45">
        <f t="shared" ca="1" si="32"/>
        <v>3753.1463306381866</v>
      </c>
      <c r="J133" s="45">
        <f t="shared" ca="1" si="33"/>
        <v>3063.9872976258348</v>
      </c>
      <c r="R133" s="4" t="e">
        <f t="shared" si="34"/>
        <v>#N/A</v>
      </c>
    </row>
    <row r="134" spans="1:18" x14ac:dyDescent="0.2">
      <c r="A134" s="4">
        <v>82</v>
      </c>
      <c r="B134" s="4">
        <f t="shared" si="27"/>
        <v>1210</v>
      </c>
      <c r="C134" s="100"/>
      <c r="D134" s="16">
        <f t="shared" ca="1" si="28"/>
        <v>3428.7889095443393</v>
      </c>
      <c r="E134" s="41">
        <f t="shared" ca="1" si="29"/>
        <v>508.75732814857167</v>
      </c>
      <c r="F134" s="41">
        <f t="shared" ca="1" si="30"/>
        <v>4446.8099717381683</v>
      </c>
      <c r="G134" s="41">
        <f t="shared" ca="1" si="31"/>
        <v>2410.7678473505107</v>
      </c>
      <c r="H134" s="41">
        <f t="shared" ca="1" si="23"/>
        <v>175.64813504197801</v>
      </c>
      <c r="I134" s="45">
        <f t="shared" ca="1" si="32"/>
        <v>3780.2600159331614</v>
      </c>
      <c r="J134" s="45">
        <f t="shared" ca="1" si="33"/>
        <v>3077.3178031555171</v>
      </c>
      <c r="R134" s="4" t="e">
        <f t="shared" si="34"/>
        <v>#N/A</v>
      </c>
    </row>
    <row r="135" spans="1:18" x14ac:dyDescent="0.2">
      <c r="A135" s="4">
        <v>83</v>
      </c>
      <c r="B135" s="4">
        <f t="shared" si="27"/>
        <v>1220</v>
      </c>
      <c r="C135" s="100"/>
      <c r="D135" s="16">
        <f t="shared" ca="1" si="28"/>
        <v>3449.0110049566679</v>
      </c>
      <c r="E135" s="41">
        <f t="shared" ca="1" si="29"/>
        <v>509.9566387442747</v>
      </c>
      <c r="F135" s="41">
        <f t="shared" ca="1" si="30"/>
        <v>4469.4318821093902</v>
      </c>
      <c r="G135" s="41">
        <f t="shared" ca="1" si="31"/>
        <v>2428.5901278039455</v>
      </c>
      <c r="H135" s="41">
        <f t="shared" ca="1" si="23"/>
        <v>179.09221590624804</v>
      </c>
      <c r="I135" s="45">
        <f t="shared" ca="1" si="32"/>
        <v>3807.3737012366564</v>
      </c>
      <c r="J135" s="45">
        <f t="shared" ca="1" si="33"/>
        <v>3090.6483086766793</v>
      </c>
      <c r="R135" s="4" t="e">
        <f t="shared" si="34"/>
        <v>#N/A</v>
      </c>
    </row>
    <row r="136" spans="1:18" x14ac:dyDescent="0.2">
      <c r="A136" s="4">
        <v>84</v>
      </c>
      <c r="B136" s="4">
        <f t="shared" si="27"/>
        <v>1230</v>
      </c>
      <c r="C136" s="100"/>
      <c r="D136" s="16">
        <f t="shared" ca="1" si="28"/>
        <v>3469.2331003689965</v>
      </c>
      <c r="E136" s="41">
        <f t="shared" ca="1" si="29"/>
        <v>511.17634065096325</v>
      </c>
      <c r="F136" s="41">
        <f t="shared" ca="1" si="30"/>
        <v>4492.0945953996488</v>
      </c>
      <c r="G136" s="41">
        <f t="shared" ca="1" si="31"/>
        <v>2446.3716053383446</v>
      </c>
      <c r="H136" s="41">
        <f t="shared" ca="1" si="23"/>
        <v>182.536296774535</v>
      </c>
      <c r="I136" s="45">
        <f t="shared" ca="1" si="32"/>
        <v>3834.4873865481895</v>
      </c>
      <c r="J136" s="45">
        <f t="shared" ca="1" si="33"/>
        <v>3103.9788141898034</v>
      </c>
      <c r="R136" s="4" t="e">
        <f t="shared" si="34"/>
        <v>#N/A</v>
      </c>
    </row>
    <row r="137" spans="1:18" x14ac:dyDescent="0.2">
      <c r="A137" s="4">
        <v>85</v>
      </c>
      <c r="B137" s="4">
        <f t="shared" si="27"/>
        <v>1240</v>
      </c>
      <c r="C137" s="100"/>
      <c r="D137" s="16">
        <f t="shared" ca="1" si="28"/>
        <v>3489.4551957813251</v>
      </c>
      <c r="E137" s="41">
        <f t="shared" ca="1" si="29"/>
        <v>512.41628825665396</v>
      </c>
      <c r="F137" s="41">
        <f t="shared" ca="1" si="30"/>
        <v>4514.7978202400354</v>
      </c>
      <c r="G137" s="41">
        <f t="shared" ca="1" si="31"/>
        <v>2464.1125713226147</v>
      </c>
      <c r="H137" s="41">
        <f t="shared" ca="1" si="23"/>
        <v>185.98037764661572</v>
      </c>
      <c r="I137" s="45">
        <f t="shared" ca="1" si="32"/>
        <v>3861.6010718673137</v>
      </c>
      <c r="J137" s="45">
        <f t="shared" ca="1" si="33"/>
        <v>3117.3093196953364</v>
      </c>
      <c r="R137" s="4" t="e">
        <f t="shared" si="34"/>
        <v>#N/A</v>
      </c>
    </row>
    <row r="138" spans="1:18" x14ac:dyDescent="0.2">
      <c r="A138" s="4">
        <v>86</v>
      </c>
      <c r="B138" s="4">
        <f t="shared" si="27"/>
        <v>1250</v>
      </c>
      <c r="C138" s="100"/>
      <c r="D138" s="16">
        <f t="shared" ca="1" si="28"/>
        <v>3509.6772911936537</v>
      </c>
      <c r="E138" s="41">
        <f t="shared" ca="1" si="29"/>
        <v>513.67633494994561</v>
      </c>
      <c r="F138" s="41">
        <f t="shared" ca="1" si="30"/>
        <v>4537.5412632618163</v>
      </c>
      <c r="G138" s="41">
        <f t="shared" ca="1" si="31"/>
        <v>2481.813319125491</v>
      </c>
      <c r="H138" s="41">
        <f t="shared" ca="1" si="23"/>
        <v>189.42445852228329</v>
      </c>
      <c r="I138" s="45">
        <f t="shared" ca="1" si="32"/>
        <v>3888.7147571936157</v>
      </c>
      <c r="J138" s="45">
        <f t="shared" ca="1" si="33"/>
        <v>3130.6398251936916</v>
      </c>
      <c r="R138" s="4" t="e">
        <f t="shared" si="34"/>
        <v>#N/A</v>
      </c>
    </row>
    <row r="139" spans="1:18" x14ac:dyDescent="0.2">
      <c r="A139" s="4">
        <v>87</v>
      </c>
      <c r="B139" s="4">
        <f t="shared" si="27"/>
        <v>1260</v>
      </c>
      <c r="C139" s="100"/>
      <c r="D139" s="16">
        <f t="shared" ca="1" si="28"/>
        <v>3529.8993866059827</v>
      </c>
      <c r="E139" s="41">
        <f t="shared" ca="1" si="29"/>
        <v>514.95633318948205</v>
      </c>
      <c r="F139" s="41">
        <f t="shared" ca="1" si="30"/>
        <v>4560.3246292354188</v>
      </c>
      <c r="G139" s="41">
        <f t="shared" ca="1" si="31"/>
        <v>2499.4741439765467</v>
      </c>
      <c r="H139" s="41">
        <f t="shared" ca="1" si="23"/>
        <v>192.86853940134552</v>
      </c>
      <c r="I139" s="45">
        <f t="shared" ca="1" si="32"/>
        <v>3915.8284425267102</v>
      </c>
      <c r="J139" s="45">
        <f t="shared" ca="1" si="33"/>
        <v>3143.9703306852552</v>
      </c>
      <c r="R139" s="4" t="e">
        <f t="shared" si="34"/>
        <v>#N/A</v>
      </c>
    </row>
    <row r="140" spans="1:18" x14ac:dyDescent="0.2">
      <c r="A140" s="4">
        <v>88</v>
      </c>
      <c r="B140" s="4">
        <f t="shared" si="27"/>
        <v>1270</v>
      </c>
      <c r="C140" s="100"/>
      <c r="D140" s="16">
        <f t="shared" ca="1" si="28"/>
        <v>3550.1214820183113</v>
      </c>
      <c r="E140" s="41">
        <f t="shared" ca="1" si="29"/>
        <v>516.25613457253053</v>
      </c>
      <c r="F140" s="41">
        <f t="shared" ca="1" si="30"/>
        <v>4583.1476212076604</v>
      </c>
      <c r="G140" s="41">
        <f t="shared" ca="1" si="31"/>
        <v>2517.0953428289622</v>
      </c>
      <c r="H140" s="41">
        <f t="shared" ca="1" si="23"/>
        <v>196.31262028362377</v>
      </c>
      <c r="I140" s="45">
        <f t="shared" ca="1" si="32"/>
        <v>3942.9421278662398</v>
      </c>
      <c r="J140" s="45">
        <f t="shared" ca="1" si="33"/>
        <v>3157.3008361703828</v>
      </c>
      <c r="R140" s="4" t="e">
        <f t="shared" si="34"/>
        <v>#N/A</v>
      </c>
    </row>
    <row r="141" spans="1:18" x14ac:dyDescent="0.2">
      <c r="A141" s="4">
        <v>89</v>
      </c>
      <c r="B141" s="4">
        <f t="shared" si="27"/>
        <v>1280</v>
      </c>
      <c r="C141" s="100"/>
      <c r="D141" s="16">
        <f t="shared" ca="1" si="28"/>
        <v>3570.3435774306399</v>
      </c>
      <c r="E141" s="41">
        <f t="shared" ca="1" si="29"/>
        <v>517.5755899026251</v>
      </c>
      <c r="F141" s="41">
        <f t="shared" ca="1" si="30"/>
        <v>4606.0099406371019</v>
      </c>
      <c r="G141" s="41">
        <f t="shared" ca="1" si="31"/>
        <v>2534.677214224178</v>
      </c>
      <c r="H141" s="41">
        <f t="shared" ca="1" si="23"/>
        <v>199.75670116895168</v>
      </c>
      <c r="I141" s="45">
        <f t="shared" ca="1" si="32"/>
        <v>3970.0558132118717</v>
      </c>
      <c r="J141" s="45">
        <f t="shared" ca="1" si="33"/>
        <v>3170.6313416494081</v>
      </c>
      <c r="R141" s="4" t="e">
        <f t="shared" si="34"/>
        <v>#N/A</v>
      </c>
    </row>
    <row r="142" spans="1:18" x14ac:dyDescent="0.2">
      <c r="A142" s="4">
        <v>90</v>
      </c>
      <c r="B142" s="4">
        <f t="shared" si="27"/>
        <v>1290</v>
      </c>
      <c r="C142" s="100"/>
      <c r="D142" s="16">
        <f t="shared" ca="1" si="28"/>
        <v>3590.5656728429685</v>
      </c>
      <c r="E142" s="41">
        <f t="shared" ca="1" si="29"/>
        <v>518.91454925622941</v>
      </c>
      <c r="F142" s="41">
        <f t="shared" ca="1" si="30"/>
        <v>4628.9112875274404</v>
      </c>
      <c r="G142" s="41">
        <f t="shared" ca="1" si="31"/>
        <v>2552.2200581584962</v>
      </c>
      <c r="H142" s="41">
        <f t="shared" ca="1" si="23"/>
        <v>203.20078205717419</v>
      </c>
      <c r="I142" s="45">
        <f t="shared" ca="1" si="32"/>
        <v>3997.1694985632957</v>
      </c>
      <c r="J142" s="45">
        <f t="shared" ca="1" si="33"/>
        <v>3183.9618471226413</v>
      </c>
      <c r="R142" s="4" t="e">
        <f t="shared" si="34"/>
        <v>#N/A</v>
      </c>
    </row>
    <row r="143" spans="1:18" x14ac:dyDescent="0.2">
      <c r="A143" s="4">
        <v>91</v>
      </c>
      <c r="B143" s="4">
        <f t="shared" si="27"/>
        <v>1300</v>
      </c>
      <c r="C143" s="100"/>
      <c r="D143" s="16">
        <f t="shared" ca="1" si="28"/>
        <v>3610.7877682552971</v>
      </c>
      <c r="E143" s="41">
        <f t="shared" ca="1" si="29"/>
        <v>520.27286204837435</v>
      </c>
      <c r="F143" s="41">
        <f t="shared" ca="1" si="30"/>
        <v>4651.8513605588496</v>
      </c>
      <c r="G143" s="41">
        <f t="shared" ca="1" si="31"/>
        <v>2569.7241759517447</v>
      </c>
      <c r="H143" s="41">
        <f t="shared" ca="1" si="23"/>
        <v>206.6448629481466</v>
      </c>
      <c r="I143" s="45">
        <f t="shared" ca="1" si="32"/>
        <v>4024.2831839202222</v>
      </c>
      <c r="J143" s="45">
        <f t="shared" ca="1" si="33"/>
        <v>3197.292352590372</v>
      </c>
      <c r="R143" s="4" t="e">
        <f t="shared" si="34"/>
        <v>#N/A</v>
      </c>
    </row>
    <row r="144" spans="1:18" x14ac:dyDescent="0.2">
      <c r="Q144" s="16"/>
    </row>
  </sheetData>
  <hyperlinks>
    <hyperlink ref="A1:D1" r:id="rId1" display="Файл скачан с сайта excel2.ru &gt;&gt;&gt;"/>
    <hyperlink ref="A2" r:id="rId2"/>
    <hyperlink ref="G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zoomScaleNormal="100" workbookViewId="0">
      <selection activeCell="Y2" sqref="Y2"/>
    </sheetView>
  </sheetViews>
  <sheetFormatPr defaultRowHeight="12.75" x14ac:dyDescent="0.2"/>
  <cols>
    <col min="1" max="1" width="18.85546875" style="4" customWidth="1"/>
    <col min="2" max="2" width="15.85546875" style="4" customWidth="1"/>
    <col min="3" max="3" width="12.42578125" style="4" customWidth="1"/>
    <col min="4" max="4" width="12.85546875" style="4" customWidth="1"/>
    <col min="5" max="5" width="3" style="4" customWidth="1"/>
    <col min="6" max="6" width="9.140625" style="4" bestFit="1" customWidth="1"/>
    <col min="7" max="7" width="17.5703125" style="4" customWidth="1"/>
    <col min="8" max="8" width="2.5703125" style="4" customWidth="1"/>
    <col min="9" max="9" width="7.28515625" style="4" bestFit="1" customWidth="1"/>
    <col min="10" max="10" width="6.5703125" style="4" customWidth="1"/>
    <col min="11" max="11" width="11.42578125" style="4" customWidth="1"/>
    <col min="12" max="12" width="2.140625" style="4" customWidth="1"/>
    <col min="13" max="13" width="11" style="4" customWidth="1"/>
    <col min="14" max="14" width="15.7109375" style="4" customWidth="1"/>
    <col min="15" max="15" width="9.140625" style="4" customWidth="1"/>
    <col min="16" max="16" width="9.42578125" style="4" customWidth="1"/>
    <col min="17" max="17" width="10" style="4" customWidth="1"/>
    <col min="18" max="18" width="1.85546875" style="4" customWidth="1"/>
    <col min="19" max="19" width="11.7109375" style="4" customWidth="1"/>
    <col min="20" max="26" width="8.140625" style="4" customWidth="1"/>
    <col min="27" max="16384" width="9.140625" style="4"/>
  </cols>
  <sheetData>
    <row r="1" spans="1:2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1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0" t="s">
        <v>176</v>
      </c>
      <c r="Z2" s="2"/>
    </row>
    <row r="3" spans="1:26" ht="18.75" x14ac:dyDescent="0.2">
      <c r="A3" s="1" t="str">
        <f>Линейный!A3</f>
        <v>Простая линейная регрессия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2" t="s">
        <v>87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">
      <c r="V5" s="21"/>
    </row>
    <row r="6" spans="1:26" x14ac:dyDescent="0.2">
      <c r="A6" s="11" t="s">
        <v>137</v>
      </c>
    </row>
    <row r="7" spans="1:26" x14ac:dyDescent="0.2">
      <c r="A7" s="8" t="s">
        <v>14</v>
      </c>
      <c r="B7" s="8" t="s">
        <v>139</v>
      </c>
    </row>
    <row r="8" spans="1:26" ht="15" x14ac:dyDescent="0.25">
      <c r="A8" s="9" t="s">
        <v>43</v>
      </c>
      <c r="B8" s="14">
        <v>2</v>
      </c>
      <c r="R8"/>
      <c r="S8"/>
      <c r="T8"/>
      <c r="U8"/>
      <c r="V8"/>
      <c r="W8"/>
      <c r="X8"/>
      <c r="Y8"/>
      <c r="Z8"/>
    </row>
    <row r="9" spans="1:26" ht="15" x14ac:dyDescent="0.25">
      <c r="A9" s="9" t="s">
        <v>44</v>
      </c>
      <c r="B9" s="14">
        <v>10</v>
      </c>
      <c r="Q9"/>
      <c r="R9"/>
      <c r="S9"/>
      <c r="T9"/>
      <c r="U9"/>
      <c r="V9"/>
      <c r="W9"/>
      <c r="X9"/>
      <c r="Y9"/>
      <c r="Z9"/>
    </row>
    <row r="10" spans="1:26" ht="15" x14ac:dyDescent="0.25">
      <c r="Q10"/>
      <c r="R10"/>
      <c r="S10"/>
      <c r="T10"/>
      <c r="U10"/>
      <c r="V10"/>
      <c r="W10"/>
      <c r="X10"/>
      <c r="Y10"/>
      <c r="Z10"/>
    </row>
    <row r="11" spans="1:26" ht="15" x14ac:dyDescent="0.25">
      <c r="A11" s="9" t="s">
        <v>6</v>
      </c>
      <c r="B11" s="14">
        <v>100</v>
      </c>
      <c r="Q11"/>
      <c r="R11"/>
      <c r="S11"/>
      <c r="T11"/>
      <c r="U11"/>
      <c r="V11"/>
      <c r="W11"/>
      <c r="X11"/>
      <c r="Y11"/>
      <c r="Z11"/>
    </row>
    <row r="12" spans="1:26" ht="15" x14ac:dyDescent="0.25">
      <c r="A12" s="9" t="s">
        <v>7</v>
      </c>
      <c r="B12" s="14">
        <v>10</v>
      </c>
      <c r="Q12"/>
      <c r="R12"/>
      <c r="S12"/>
      <c r="T12"/>
      <c r="U12"/>
      <c r="V12"/>
      <c r="W12"/>
      <c r="X12"/>
      <c r="Y12"/>
      <c r="Z12"/>
    </row>
    <row r="13" spans="1:26" ht="15" x14ac:dyDescent="0.25">
      <c r="A13" s="9" t="s">
        <v>10</v>
      </c>
      <c r="B13" s="15">
        <f>COUNT(A23:A83)</f>
        <v>61</v>
      </c>
      <c r="Q13"/>
      <c r="R13"/>
      <c r="S13"/>
      <c r="T13"/>
      <c r="U13"/>
      <c r="V13"/>
      <c r="W13"/>
      <c r="X13"/>
      <c r="Y13"/>
      <c r="Z13"/>
    </row>
    <row r="14" spans="1:26" ht="15" x14ac:dyDescent="0.25">
      <c r="A14" s="9" t="s">
        <v>8</v>
      </c>
      <c r="B14" s="9">
        <f>B11+B12*(B13-1)</f>
        <v>700</v>
      </c>
      <c r="Q14"/>
      <c r="R14"/>
      <c r="S14"/>
      <c r="T14"/>
      <c r="U14"/>
      <c r="V14"/>
      <c r="W14"/>
      <c r="X14"/>
      <c r="Y14"/>
      <c r="Z14"/>
    </row>
    <row r="15" spans="1:26" ht="15" x14ac:dyDescent="0.25">
      <c r="A15" s="22" t="s">
        <v>12</v>
      </c>
      <c r="B15" s="17">
        <v>0.2</v>
      </c>
      <c r="C15" s="11" t="s">
        <v>13</v>
      </c>
      <c r="Q15"/>
      <c r="R15"/>
      <c r="S15"/>
      <c r="T15"/>
      <c r="U15"/>
      <c r="V15"/>
      <c r="W15"/>
      <c r="X15"/>
      <c r="Y15"/>
      <c r="Z15"/>
    </row>
    <row r="16" spans="1:26" ht="15" x14ac:dyDescent="0.25">
      <c r="Q16"/>
      <c r="R16"/>
      <c r="S16"/>
      <c r="T16"/>
      <c r="U16"/>
      <c r="V16"/>
      <c r="W16"/>
      <c r="X16"/>
      <c r="Y16"/>
      <c r="Z16"/>
    </row>
    <row r="17" spans="1:26" ht="26.25" x14ac:dyDescent="0.25">
      <c r="A17" s="18" t="s">
        <v>90</v>
      </c>
      <c r="B17" s="19">
        <f ca="1">AVERAGE(K23:K83)</f>
        <v>-11.945152463003181</v>
      </c>
      <c r="Q17"/>
      <c r="R17"/>
      <c r="S17"/>
      <c r="T17"/>
      <c r="U17"/>
      <c r="V17"/>
      <c r="W17"/>
      <c r="X17"/>
      <c r="Y17"/>
      <c r="Z17"/>
    </row>
    <row r="18" spans="1:26" ht="26.25" x14ac:dyDescent="0.25">
      <c r="A18" s="18" t="s">
        <v>91</v>
      </c>
      <c r="B18" s="59">
        <f ca="1">SUMSQ(K23:K83)/(COUNT(K23:K83)-2)</f>
        <v>27290.650897302785</v>
      </c>
      <c r="Q18"/>
      <c r="R18"/>
      <c r="S18"/>
      <c r="T18"/>
      <c r="U18"/>
      <c r="V18"/>
      <c r="W18"/>
      <c r="X18"/>
      <c r="Y18"/>
      <c r="Z18"/>
    </row>
    <row r="19" spans="1:26" ht="26.25" x14ac:dyDescent="0.25">
      <c r="A19" s="18" t="s">
        <v>92</v>
      </c>
      <c r="B19" s="59">
        <f ca="1">SQRT(B18)</f>
        <v>165.19882232420056</v>
      </c>
      <c r="Q19"/>
      <c r="R19"/>
      <c r="S19"/>
      <c r="T19"/>
      <c r="U19"/>
      <c r="V19"/>
      <c r="W19"/>
      <c r="X19"/>
      <c r="Y19"/>
      <c r="Z19"/>
    </row>
    <row r="20" spans="1:26" ht="15" x14ac:dyDescent="0.25">
      <c r="Q20"/>
      <c r="R20"/>
      <c r="S20"/>
      <c r="T20"/>
      <c r="U20"/>
      <c r="V20"/>
      <c r="W20"/>
      <c r="X20"/>
      <c r="Y20"/>
      <c r="Z20"/>
    </row>
    <row r="21" spans="1:26" ht="15" x14ac:dyDescent="0.25">
      <c r="F21" s="4" t="s">
        <v>25</v>
      </c>
      <c r="M21" s="4" t="s">
        <v>94</v>
      </c>
      <c r="Q21"/>
      <c r="R21"/>
      <c r="S21"/>
      <c r="T21"/>
      <c r="U21"/>
      <c r="V21"/>
      <c r="W21"/>
      <c r="X21"/>
      <c r="Y21"/>
      <c r="Z21"/>
    </row>
    <row r="22" spans="1:26" ht="39" x14ac:dyDescent="0.25">
      <c r="A22" s="10" t="s">
        <v>66</v>
      </c>
      <c r="B22" s="10" t="s">
        <v>69</v>
      </c>
      <c r="C22" s="10" t="s">
        <v>89</v>
      </c>
      <c r="D22" s="43" t="s">
        <v>85</v>
      </c>
      <c r="F22" s="10" t="s">
        <v>86</v>
      </c>
      <c r="G22" s="10" t="s">
        <v>22</v>
      </c>
      <c r="I22" s="10" t="s">
        <v>17</v>
      </c>
      <c r="K22" s="43" t="s">
        <v>88</v>
      </c>
      <c r="M22" s="43" t="s">
        <v>82</v>
      </c>
      <c r="N22" s="43" t="s">
        <v>93</v>
      </c>
      <c r="P22" s="43" t="s">
        <v>126</v>
      </c>
      <c r="Q22"/>
      <c r="R22"/>
      <c r="S22"/>
      <c r="T22"/>
      <c r="U22"/>
      <c r="V22"/>
      <c r="W22"/>
      <c r="X22"/>
      <c r="Y22"/>
      <c r="Z22"/>
    </row>
    <row r="23" spans="1:26" ht="15" x14ac:dyDescent="0.25">
      <c r="A23" s="4">
        <v>1</v>
      </c>
      <c r="B23" s="4">
        <f>$B$11+(A23-1)*$B$12</f>
        <v>100</v>
      </c>
      <c r="C23" s="16">
        <f t="shared" ref="C23:C54" ca="1" si="0">IF(AND($B$15&gt;0,AVERAGE($I$23:$I$83)),_xlfn.NORM.INV(RAND(),I23,$B$15*ABS(AVERAGE($I$23:$I$83))),I23)</f>
        <v>107.41008640226718</v>
      </c>
      <c r="D23" s="16">
        <f t="shared" ref="D23:D57" ca="1" si="1">TREND($C$33:$C$73,$B$33:$B$73,B23)</f>
        <v>240.63556847759074</v>
      </c>
      <c r="F23" s="4">
        <f>(A23-1)*B12+B11-B11</f>
        <v>0</v>
      </c>
      <c r="G23" s="16">
        <f ca="1">TREND($C$23:$C$83,$B$23:$B$83,F23)</f>
        <v>-52.415401280224728</v>
      </c>
      <c r="I23" s="4">
        <f t="shared" ref="I23:I54" si="2">$B$8*B23+$B$9</f>
        <v>210</v>
      </c>
      <c r="K23" s="16">
        <f ca="1">C23-D23</f>
        <v>-133.22548207532355</v>
      </c>
      <c r="M23" s="16">
        <f ca="1">_xlfn.NORM.S.INV((ROW()-ROW($M$22)-0.5)/COUNT($K$23:$K$83))</f>
        <v>-2.4000363771273889</v>
      </c>
      <c r="N23" s="16">
        <f ca="1">SMALL($K$23:$K$83,ROW()-ROW($N$22))</f>
        <v>-430.43082584044868</v>
      </c>
      <c r="P23" s="4">
        <f ca="1">K23/$B$19</f>
        <v>-0.80645539841603875</v>
      </c>
      <c r="Q23"/>
      <c r="R23"/>
      <c r="S23"/>
      <c r="T23"/>
      <c r="U23"/>
      <c r="V23"/>
      <c r="W23"/>
      <c r="X23"/>
      <c r="Y23"/>
      <c r="Z23"/>
    </row>
    <row r="24" spans="1:26" ht="15" x14ac:dyDescent="0.25">
      <c r="A24" s="4">
        <v>2</v>
      </c>
      <c r="B24" s="4">
        <f t="shared" ref="B24:B83" si="3">$B$11+(A24-1)*$B$12</f>
        <v>110</v>
      </c>
      <c r="C24" s="16">
        <f t="shared" ca="1" si="0"/>
        <v>271.6177874266773</v>
      </c>
      <c r="D24" s="16">
        <f t="shared" ca="1" si="1"/>
        <v>260.60942065140705</v>
      </c>
      <c r="F24" s="4">
        <f>(B13-1)*B12+B11+B11</f>
        <v>800</v>
      </c>
      <c r="G24" s="16">
        <f ca="1">TREND($C$23:$C$83,$B$23:$B$83,F24)</f>
        <v>1708.2273637383819</v>
      </c>
      <c r="I24" s="4">
        <f t="shared" si="2"/>
        <v>230</v>
      </c>
      <c r="K24" s="16">
        <f t="shared" ref="K24:K83" ca="1" si="4">C24-D24</f>
        <v>11.008366775270247</v>
      </c>
      <c r="M24" s="16">
        <f t="shared" ref="M24:M83" ca="1" si="5">_xlfn.NORM.S.INV((ROW()-ROW($M$22)-0.5)/COUNT($K$23:$K$83))</f>
        <v>-1.9670250071019253</v>
      </c>
      <c r="N24" s="16">
        <f t="shared" ref="N24:N83" ca="1" si="6">SMALL($K$23:$K$83,ROW()-ROW($N$22))</f>
        <v>-329.90070064051434</v>
      </c>
      <c r="P24" s="4">
        <f t="shared" ref="P24:P83" ca="1" si="7">K24/$B$19</f>
        <v>6.6637077797482527E-2</v>
      </c>
      <c r="Q24"/>
      <c r="R24"/>
      <c r="S24"/>
      <c r="T24"/>
      <c r="U24"/>
      <c r="V24"/>
      <c r="W24"/>
      <c r="X24"/>
      <c r="Y24"/>
      <c r="Z24"/>
    </row>
    <row r="25" spans="1:26" ht="15" x14ac:dyDescent="0.25">
      <c r="A25" s="4">
        <v>3</v>
      </c>
      <c r="B25" s="4">
        <f t="shared" si="3"/>
        <v>120</v>
      </c>
      <c r="C25" s="16">
        <f t="shared" ca="1" si="0"/>
        <v>269.82252037707923</v>
      </c>
      <c r="D25" s="16">
        <f t="shared" ca="1" si="1"/>
        <v>280.58327282522345</v>
      </c>
      <c r="I25" s="4">
        <f t="shared" si="2"/>
        <v>250</v>
      </c>
      <c r="K25" s="16">
        <f t="shared" ca="1" si="4"/>
        <v>-10.760752448144217</v>
      </c>
      <c r="M25" s="16">
        <f t="shared" ca="1" si="5"/>
        <v>-1.7393841569195561</v>
      </c>
      <c r="N25" s="16">
        <f t="shared" ca="1" si="6"/>
        <v>-314.14917253927132</v>
      </c>
      <c r="P25" s="4">
        <f t="shared" ca="1" si="7"/>
        <v>-6.5138191040044938E-2</v>
      </c>
      <c r="Q25"/>
      <c r="R25"/>
      <c r="S25"/>
      <c r="T25"/>
      <c r="U25"/>
      <c r="V25"/>
      <c r="W25"/>
      <c r="X25"/>
      <c r="Y25"/>
      <c r="Z25"/>
    </row>
    <row r="26" spans="1:26" ht="15" x14ac:dyDescent="0.25">
      <c r="A26" s="4">
        <v>4</v>
      </c>
      <c r="B26" s="4">
        <f t="shared" si="3"/>
        <v>130</v>
      </c>
      <c r="C26" s="16">
        <f t="shared" ca="1" si="0"/>
        <v>-29.343575641474501</v>
      </c>
      <c r="D26" s="16">
        <f t="shared" ca="1" si="1"/>
        <v>300.55712499903984</v>
      </c>
      <c r="I26" s="4">
        <f t="shared" si="2"/>
        <v>270</v>
      </c>
      <c r="K26" s="16">
        <f t="shared" ca="1" si="4"/>
        <v>-329.90070064051434</v>
      </c>
      <c r="M26" s="16">
        <f t="shared" ca="1" si="5"/>
        <v>-1.5771800660678663</v>
      </c>
      <c r="N26" s="16">
        <f t="shared" ca="1" si="6"/>
        <v>-274.36375947883346</v>
      </c>
      <c r="P26" s="4">
        <f t="shared" ca="1" si="7"/>
        <v>-1.9969918429145244</v>
      </c>
      <c r="Q26"/>
      <c r="R26"/>
      <c r="S26"/>
      <c r="T26"/>
      <c r="U26"/>
      <c r="V26"/>
      <c r="W26"/>
      <c r="X26"/>
      <c r="Y26"/>
      <c r="Z26"/>
    </row>
    <row r="27" spans="1:26" ht="15" x14ac:dyDescent="0.25">
      <c r="A27" s="4">
        <v>5</v>
      </c>
      <c r="B27" s="4">
        <f t="shared" si="3"/>
        <v>140</v>
      </c>
      <c r="C27" s="16">
        <f t="shared" ca="1" si="0"/>
        <v>585.15574617625111</v>
      </c>
      <c r="D27" s="16">
        <f t="shared" ca="1" si="1"/>
        <v>320.53097717285618</v>
      </c>
      <c r="I27" s="4">
        <f t="shared" si="2"/>
        <v>290</v>
      </c>
      <c r="K27" s="16">
        <f t="shared" ca="1" si="4"/>
        <v>264.62476900339493</v>
      </c>
      <c r="M27" s="16">
        <f t="shared" ca="1" si="5"/>
        <v>-1.4482720415077504</v>
      </c>
      <c r="N27" s="16">
        <f t="shared" ca="1" si="6"/>
        <v>-253.92272577053365</v>
      </c>
      <c r="P27" s="4">
        <f t="shared" ca="1" si="7"/>
        <v>1.6018562679827839</v>
      </c>
      <c r="Q27"/>
      <c r="R27"/>
      <c r="S27"/>
      <c r="T27"/>
      <c r="U27"/>
      <c r="V27"/>
      <c r="W27"/>
      <c r="X27"/>
      <c r="Y27"/>
      <c r="Z27"/>
    </row>
    <row r="28" spans="1:26" ht="15" x14ac:dyDescent="0.25">
      <c r="A28" s="4">
        <v>6</v>
      </c>
      <c r="B28" s="4">
        <f t="shared" si="3"/>
        <v>150</v>
      </c>
      <c r="C28" s="16">
        <f t="shared" ca="1" si="0"/>
        <v>-89.925996493776154</v>
      </c>
      <c r="D28" s="16">
        <f t="shared" ca="1" si="1"/>
        <v>340.50482934667252</v>
      </c>
      <c r="I28" s="4">
        <f t="shared" si="2"/>
        <v>310</v>
      </c>
      <c r="K28" s="16">
        <f t="shared" ca="1" si="4"/>
        <v>-430.43082584044868</v>
      </c>
      <c r="M28" s="16">
        <f t="shared" ca="1" si="5"/>
        <v>-1.3397462093910992</v>
      </c>
      <c r="N28" s="16">
        <f t="shared" ca="1" si="6"/>
        <v>-239.87626255986015</v>
      </c>
      <c r="P28" s="4">
        <f t="shared" ca="1" si="7"/>
        <v>-2.6055320478964052</v>
      </c>
      <c r="Q28"/>
      <c r="R28"/>
      <c r="S28"/>
      <c r="T28"/>
      <c r="U28"/>
      <c r="V28"/>
      <c r="W28"/>
      <c r="X28"/>
      <c r="Y28"/>
      <c r="Z28"/>
    </row>
    <row r="29" spans="1:26" ht="15" x14ac:dyDescent="0.25">
      <c r="A29" s="4">
        <v>7</v>
      </c>
      <c r="B29" s="4">
        <f t="shared" si="3"/>
        <v>160</v>
      </c>
      <c r="C29" s="16">
        <f t="shared" ca="1" si="0"/>
        <v>262.86336955326999</v>
      </c>
      <c r="D29" s="16">
        <f t="shared" ca="1" si="1"/>
        <v>360.47868152048892</v>
      </c>
      <c r="I29" s="4">
        <f t="shared" si="2"/>
        <v>330</v>
      </c>
      <c r="K29" s="16">
        <f t="shared" ca="1" si="4"/>
        <v>-97.615311967218929</v>
      </c>
      <c r="M29" s="16">
        <f t="shared" ca="1" si="5"/>
        <v>-1.2450462387740626</v>
      </c>
      <c r="N29" s="16">
        <f t="shared" ca="1" si="6"/>
        <v>-226.73495727167256</v>
      </c>
      <c r="P29" s="4">
        <f t="shared" ca="1" si="7"/>
        <v>-0.59089593130179907</v>
      </c>
      <c r="Q29"/>
      <c r="R29"/>
      <c r="S29"/>
      <c r="T29"/>
      <c r="U29"/>
      <c r="V29"/>
      <c r="W29"/>
      <c r="X29"/>
      <c r="Y29"/>
      <c r="Z29"/>
    </row>
    <row r="30" spans="1:26" ht="15" x14ac:dyDescent="0.25">
      <c r="A30" s="4">
        <v>8</v>
      </c>
      <c r="B30" s="4">
        <f t="shared" si="3"/>
        <v>170</v>
      </c>
      <c r="C30" s="16">
        <f t="shared" ca="1" si="0"/>
        <v>66.30336115503394</v>
      </c>
      <c r="D30" s="16">
        <f t="shared" ca="1" si="1"/>
        <v>380.45253369430526</v>
      </c>
      <c r="I30" s="4">
        <f t="shared" si="2"/>
        <v>350</v>
      </c>
      <c r="K30" s="16">
        <f t="shared" ca="1" si="4"/>
        <v>-314.14917253927132</v>
      </c>
      <c r="M30" s="16">
        <f t="shared" ca="1" si="5"/>
        <v>-1.1603615380941534</v>
      </c>
      <c r="N30" s="16">
        <f t="shared" ca="1" si="6"/>
        <v>-201.16266821291026</v>
      </c>
      <c r="P30" s="4">
        <f t="shared" ca="1" si="7"/>
        <v>-1.9016429301339546</v>
      </c>
      <c r="Q30"/>
      <c r="R30"/>
      <c r="S30"/>
      <c r="T30"/>
      <c r="U30"/>
      <c r="V30"/>
      <c r="W30"/>
      <c r="X30"/>
      <c r="Y30"/>
      <c r="Z30"/>
    </row>
    <row r="31" spans="1:26" ht="15" x14ac:dyDescent="0.25">
      <c r="A31" s="4">
        <v>9</v>
      </c>
      <c r="B31" s="4">
        <f t="shared" si="3"/>
        <v>180</v>
      </c>
      <c r="C31" s="16">
        <f t="shared" ca="1" si="0"/>
        <v>321.23648201565811</v>
      </c>
      <c r="D31" s="16">
        <f t="shared" ca="1" si="1"/>
        <v>400.42638586812166</v>
      </c>
      <c r="I31" s="4">
        <f t="shared" si="2"/>
        <v>370</v>
      </c>
      <c r="K31" s="16">
        <f t="shared" ca="1" si="4"/>
        <v>-79.189903852463544</v>
      </c>
      <c r="M31" s="16">
        <f t="shared" ca="1" si="5"/>
        <v>-1.0832701634896718</v>
      </c>
      <c r="N31" s="16">
        <f t="shared" ca="1" si="6"/>
        <v>-156.37624628416165</v>
      </c>
      <c r="P31" s="4">
        <f t="shared" ca="1" si="7"/>
        <v>-0.47936118876837014</v>
      </c>
      <c r="Q31"/>
      <c r="R31"/>
      <c r="S31"/>
      <c r="T31"/>
      <c r="U31"/>
      <c r="V31"/>
      <c r="W31"/>
      <c r="X31"/>
      <c r="Y31"/>
      <c r="Z31"/>
    </row>
    <row r="32" spans="1:26" ht="15" x14ac:dyDescent="0.25">
      <c r="A32" s="4">
        <v>10</v>
      </c>
      <c r="B32" s="4">
        <f t="shared" si="3"/>
        <v>190</v>
      </c>
      <c r="C32" s="16">
        <f t="shared" ca="1" si="0"/>
        <v>380.45172829166165</v>
      </c>
      <c r="D32" s="16">
        <f t="shared" ca="1" si="1"/>
        <v>420.400238041938</v>
      </c>
      <c r="I32" s="4">
        <f t="shared" si="2"/>
        <v>390</v>
      </c>
      <c r="K32" s="16">
        <f t="shared" ca="1" si="4"/>
        <v>-39.948509750276344</v>
      </c>
      <c r="M32" s="16">
        <f t="shared" ca="1" si="5"/>
        <v>-1.0121310253729572</v>
      </c>
      <c r="N32" s="16">
        <f t="shared" ca="1" si="6"/>
        <v>-137.35739678380367</v>
      </c>
      <c r="P32" s="4">
        <f t="shared" ca="1" si="7"/>
        <v>-0.24182079017414487</v>
      </c>
      <c r="Q32"/>
      <c r="R32"/>
      <c r="S32"/>
      <c r="T32"/>
      <c r="U32"/>
      <c r="V32"/>
      <c r="W32"/>
      <c r="X32"/>
      <c r="Y32"/>
      <c r="Z32"/>
    </row>
    <row r="33" spans="1:26" ht="15" x14ac:dyDescent="0.25">
      <c r="A33" s="4">
        <v>11</v>
      </c>
      <c r="B33" s="4">
        <f t="shared" si="3"/>
        <v>200</v>
      </c>
      <c r="C33" s="16">
        <f t="shared" ca="1" si="0"/>
        <v>469.43349982226346</v>
      </c>
      <c r="D33" s="16">
        <f t="shared" ca="1" si="1"/>
        <v>440.37409021575439</v>
      </c>
      <c r="I33" s="4">
        <f t="shared" si="2"/>
        <v>410</v>
      </c>
      <c r="K33" s="16">
        <f t="shared" ca="1" si="4"/>
        <v>29.059409606509064</v>
      </c>
      <c r="M33" s="16">
        <f t="shared" ca="1" si="5"/>
        <v>-0.94577708618931966</v>
      </c>
      <c r="N33" s="16">
        <f t="shared" ca="1" si="6"/>
        <v>-133.22548207532355</v>
      </c>
      <c r="P33" s="4">
        <f t="shared" ca="1" si="7"/>
        <v>0.17590567049854838</v>
      </c>
      <c r="Q33"/>
      <c r="R33"/>
      <c r="S33"/>
      <c r="T33"/>
      <c r="U33"/>
      <c r="V33"/>
      <c r="W33"/>
      <c r="X33"/>
      <c r="Y33"/>
      <c r="Z33"/>
    </row>
    <row r="34" spans="1:26" ht="15" x14ac:dyDescent="0.25">
      <c r="A34" s="4">
        <v>12</v>
      </c>
      <c r="B34" s="4">
        <f t="shared" si="3"/>
        <v>210</v>
      </c>
      <c r="C34" s="16">
        <f t="shared" ca="1" si="0"/>
        <v>498.19819214399956</v>
      </c>
      <c r="D34" s="16">
        <f t="shared" ca="1" si="1"/>
        <v>460.34794238957073</v>
      </c>
      <c r="I34" s="4">
        <f t="shared" si="2"/>
        <v>430</v>
      </c>
      <c r="K34" s="16">
        <f t="shared" ca="1" si="4"/>
        <v>37.85024975442883</v>
      </c>
      <c r="M34" s="16">
        <f t="shared" ca="1" si="5"/>
        <v>-0.88334632750869224</v>
      </c>
      <c r="N34" s="16">
        <f t="shared" ca="1" si="6"/>
        <v>-130.68792393868017</v>
      </c>
      <c r="P34" s="4">
        <f t="shared" ca="1" si="7"/>
        <v>0.22911936793440454</v>
      </c>
      <c r="Q34"/>
      <c r="R34"/>
      <c r="S34"/>
      <c r="T34"/>
      <c r="U34"/>
      <c r="V34"/>
      <c r="W34"/>
      <c r="X34"/>
      <c r="Y34"/>
      <c r="Z34"/>
    </row>
    <row r="35" spans="1:26" x14ac:dyDescent="0.2">
      <c r="A35" s="4">
        <v>13</v>
      </c>
      <c r="B35" s="4">
        <f t="shared" si="3"/>
        <v>220</v>
      </c>
      <c r="C35" s="16">
        <f t="shared" ca="1" si="0"/>
        <v>370.70495899933104</v>
      </c>
      <c r="D35" s="16">
        <f t="shared" ca="1" si="1"/>
        <v>480.32179456338707</v>
      </c>
      <c r="I35" s="4">
        <f t="shared" si="2"/>
        <v>450</v>
      </c>
      <c r="K35" s="16">
        <f t="shared" ca="1" si="4"/>
        <v>-109.61683556405603</v>
      </c>
      <c r="M35" s="16">
        <f t="shared" ca="1" si="5"/>
        <v>-0.82418215399637573</v>
      </c>
      <c r="N35" s="16">
        <f t="shared" ca="1" si="6"/>
        <v>-130.24987539802066</v>
      </c>
      <c r="P35" s="4">
        <f t="shared" ca="1" si="7"/>
        <v>-0.66354489712362719</v>
      </c>
    </row>
    <row r="36" spans="1:26" x14ac:dyDescent="0.2">
      <c r="A36" s="4">
        <v>14</v>
      </c>
      <c r="B36" s="4">
        <f t="shared" si="3"/>
        <v>230</v>
      </c>
      <c r="C36" s="16">
        <f t="shared" ca="1" si="0"/>
        <v>362.9382499533998</v>
      </c>
      <c r="D36" s="16">
        <f t="shared" ca="1" si="1"/>
        <v>500.29564673720347</v>
      </c>
      <c r="I36" s="4">
        <f t="shared" si="2"/>
        <v>470</v>
      </c>
      <c r="K36" s="16">
        <f t="shared" ca="1" si="4"/>
        <v>-137.35739678380367</v>
      </c>
      <c r="M36" s="16">
        <f t="shared" ca="1" si="5"/>
        <v>-0.76777149733342365</v>
      </c>
      <c r="N36" s="16">
        <f t="shared" ca="1" si="6"/>
        <v>-122.23247753136059</v>
      </c>
      <c r="P36" s="4">
        <f t="shared" ca="1" si="7"/>
        <v>-0.83146716696467449</v>
      </c>
    </row>
    <row r="37" spans="1:26" x14ac:dyDescent="0.2">
      <c r="A37" s="4">
        <v>15</v>
      </c>
      <c r="B37" s="4">
        <f t="shared" si="3"/>
        <v>240</v>
      </c>
      <c r="C37" s="16">
        <f t="shared" ca="1" si="0"/>
        <v>398.03702137965922</v>
      </c>
      <c r="D37" s="16">
        <f t="shared" ca="1" si="1"/>
        <v>520.26949891101981</v>
      </c>
      <c r="I37" s="4">
        <f t="shared" si="2"/>
        <v>490</v>
      </c>
      <c r="K37" s="16">
        <f t="shared" ca="1" si="4"/>
        <v>-122.23247753136059</v>
      </c>
      <c r="M37" s="16">
        <f t="shared" ca="1" si="5"/>
        <v>-0.7137046409102612</v>
      </c>
      <c r="N37" s="16">
        <f t="shared" ca="1" si="6"/>
        <v>-114.82710021873743</v>
      </c>
      <c r="P37" s="4">
        <f t="shared" ca="1" si="7"/>
        <v>-0.73991131299641422</v>
      </c>
    </row>
    <row r="38" spans="1:26" x14ac:dyDescent="0.2">
      <c r="A38" s="4">
        <v>16</v>
      </c>
      <c r="B38" s="4">
        <f t="shared" si="3"/>
        <v>250</v>
      </c>
      <c r="C38" s="16">
        <f t="shared" ca="1" si="0"/>
        <v>458.89386584054944</v>
      </c>
      <c r="D38" s="16">
        <f t="shared" ca="1" si="1"/>
        <v>540.24335108483615</v>
      </c>
      <c r="I38" s="4">
        <f t="shared" si="2"/>
        <v>510</v>
      </c>
      <c r="K38" s="16">
        <f t="shared" ca="1" si="4"/>
        <v>-81.349485244286711</v>
      </c>
      <c r="M38" s="16">
        <f t="shared" ca="1" si="5"/>
        <v>-0.66164818150675131</v>
      </c>
      <c r="N38" s="16">
        <f t="shared" ca="1" si="6"/>
        <v>-109.61683556405603</v>
      </c>
      <c r="P38" s="4">
        <f t="shared" ca="1" si="7"/>
        <v>-0.49243380854519286</v>
      </c>
    </row>
    <row r="39" spans="1:26" x14ac:dyDescent="0.2">
      <c r="A39" s="4">
        <v>17</v>
      </c>
      <c r="B39" s="4">
        <f t="shared" si="3"/>
        <v>260</v>
      </c>
      <c r="C39" s="16">
        <f t="shared" ca="1" si="0"/>
        <v>306.29447748811896</v>
      </c>
      <c r="D39" s="16">
        <f t="shared" ca="1" si="1"/>
        <v>560.2172032586526</v>
      </c>
      <c r="I39" s="4">
        <f t="shared" si="2"/>
        <v>530</v>
      </c>
      <c r="K39" s="16">
        <f t="shared" ca="1" si="4"/>
        <v>-253.92272577053365</v>
      </c>
      <c r="M39" s="16">
        <f t="shared" ca="1" si="5"/>
        <v>-0.6113262645170503</v>
      </c>
      <c r="N39" s="16">
        <f t="shared" ca="1" si="6"/>
        <v>-101.56002455530597</v>
      </c>
      <c r="P39" s="4">
        <f t="shared" ca="1" si="7"/>
        <v>-1.5370734621353024</v>
      </c>
    </row>
    <row r="40" spans="1:26" x14ac:dyDescent="0.2">
      <c r="A40" s="4">
        <v>18</v>
      </c>
      <c r="B40" s="4">
        <f t="shared" si="3"/>
        <v>270</v>
      </c>
      <c r="C40" s="16">
        <f t="shared" ca="1" si="0"/>
        <v>449.50313149378877</v>
      </c>
      <c r="D40" s="16">
        <f t="shared" ca="1" si="1"/>
        <v>580.19105543246894</v>
      </c>
      <c r="I40" s="4">
        <f t="shared" si="2"/>
        <v>550</v>
      </c>
      <c r="K40" s="16">
        <f t="shared" ca="1" si="4"/>
        <v>-130.68792393868017</v>
      </c>
      <c r="M40" s="16">
        <f t="shared" ca="1" si="5"/>
        <v>-0.56250721125482239</v>
      </c>
      <c r="N40" s="16">
        <f t="shared" ca="1" si="6"/>
        <v>-97.615311967218929</v>
      </c>
      <c r="P40" s="4">
        <f t="shared" ca="1" si="7"/>
        <v>-0.79109476750510244</v>
      </c>
    </row>
    <row r="41" spans="1:26" x14ac:dyDescent="0.2">
      <c r="A41" s="4">
        <v>19</v>
      </c>
      <c r="B41" s="4">
        <f t="shared" si="3"/>
        <v>280</v>
      </c>
      <c r="C41" s="16">
        <f t="shared" ca="1" si="0"/>
        <v>562.93170354804363</v>
      </c>
      <c r="D41" s="16">
        <f t="shared" ca="1" si="1"/>
        <v>600.16490760628528</v>
      </c>
      <c r="E41" s="16"/>
      <c r="I41" s="4">
        <f t="shared" si="2"/>
        <v>570</v>
      </c>
      <c r="J41" s="16"/>
      <c r="K41" s="16">
        <f t="shared" ca="1" si="4"/>
        <v>-37.233204058241654</v>
      </c>
      <c r="M41" s="16">
        <f t="shared" ca="1" si="5"/>
        <v>-0.51499376488951132</v>
      </c>
      <c r="N41" s="16">
        <f t="shared" ca="1" si="6"/>
        <v>-81.349485244286711</v>
      </c>
      <c r="P41" s="4">
        <f t="shared" ca="1" si="7"/>
        <v>-0.2253841978677788</v>
      </c>
    </row>
    <row r="42" spans="1:26" x14ac:dyDescent="0.2">
      <c r="A42" s="4">
        <v>20</v>
      </c>
      <c r="B42" s="4">
        <f t="shared" si="3"/>
        <v>290</v>
      </c>
      <c r="C42" s="16">
        <f t="shared" ca="1" si="0"/>
        <v>1001.4117595074047</v>
      </c>
      <c r="D42" s="16">
        <f t="shared" ca="1" si="1"/>
        <v>620.13875978010162</v>
      </c>
      <c r="E42" s="16"/>
      <c r="I42" s="4">
        <f t="shared" si="2"/>
        <v>590</v>
      </c>
      <c r="J42" s="16"/>
      <c r="K42" s="16">
        <f t="shared" ca="1" si="4"/>
        <v>381.27299972730304</v>
      </c>
      <c r="M42" s="16">
        <f t="shared" ca="1" si="5"/>
        <v>-0.46861582700232868</v>
      </c>
      <c r="N42" s="16">
        <f t="shared" ca="1" si="6"/>
        <v>-79.189903852463544</v>
      </c>
      <c r="P42" s="4">
        <f t="shared" ca="1" si="7"/>
        <v>2.3079643932270879</v>
      </c>
    </row>
    <row r="43" spans="1:26" x14ac:dyDescent="0.2">
      <c r="A43" s="4">
        <v>21</v>
      </c>
      <c r="B43" s="4">
        <f t="shared" si="3"/>
        <v>300</v>
      </c>
      <c r="C43" s="16">
        <f t="shared" ca="1" si="0"/>
        <v>509.8627365558973</v>
      </c>
      <c r="D43" s="16">
        <f t="shared" ca="1" si="1"/>
        <v>640.11261195391796</v>
      </c>
      <c r="E43" s="16"/>
      <c r="I43" s="4">
        <f t="shared" si="2"/>
        <v>610</v>
      </c>
      <c r="J43" s="16"/>
      <c r="K43" s="16">
        <f t="shared" ca="1" si="4"/>
        <v>-130.24987539802066</v>
      </c>
      <c r="M43" s="16">
        <f t="shared" ca="1" si="5"/>
        <v>-0.42322494632168806</v>
      </c>
      <c r="N43" s="16">
        <f t="shared" ca="1" si="6"/>
        <v>-78.202239668693892</v>
      </c>
      <c r="P43" s="4">
        <f t="shared" ca="1" si="7"/>
        <v>-0.78844312305330455</v>
      </c>
    </row>
    <row r="44" spans="1:26" x14ac:dyDescent="0.2">
      <c r="A44" s="4">
        <v>22</v>
      </c>
      <c r="B44" s="4">
        <f t="shared" si="3"/>
        <v>310</v>
      </c>
      <c r="C44" s="16">
        <f t="shared" ca="1" si="0"/>
        <v>799.83406879411234</v>
      </c>
      <c r="D44" s="16">
        <f t="shared" ca="1" si="1"/>
        <v>660.08646412773442</v>
      </c>
      <c r="E44" s="16"/>
      <c r="I44" s="4">
        <f t="shared" si="2"/>
        <v>630</v>
      </c>
      <c r="J44" s="16"/>
      <c r="K44" s="16">
        <f t="shared" ca="1" si="4"/>
        <v>139.74760466637792</v>
      </c>
      <c r="M44" s="16">
        <f t="shared" ca="1" si="5"/>
        <v>-0.37869006372459074</v>
      </c>
      <c r="N44" s="16">
        <f t="shared" ca="1" si="6"/>
        <v>-73.837422986486672</v>
      </c>
      <c r="P44" s="4">
        <f t="shared" ca="1" si="7"/>
        <v>0.84593584082654683</v>
      </c>
    </row>
    <row r="45" spans="1:26" x14ac:dyDescent="0.2">
      <c r="A45" s="4">
        <v>23</v>
      </c>
      <c r="B45" s="4">
        <f t="shared" si="3"/>
        <v>320</v>
      </c>
      <c r="C45" s="16">
        <f t="shared" ca="1" si="0"/>
        <v>661.36609127405563</v>
      </c>
      <c r="D45" s="16">
        <f t="shared" ca="1" si="1"/>
        <v>680.06031630155076</v>
      </c>
      <c r="E45" s="16"/>
      <c r="I45" s="4">
        <f t="shared" si="2"/>
        <v>650</v>
      </c>
      <c r="J45" s="16"/>
      <c r="K45" s="16">
        <f t="shared" ca="1" si="4"/>
        <v>-18.694225027495122</v>
      </c>
      <c r="M45" s="16">
        <f t="shared" ca="1" si="5"/>
        <v>-0.33489417272961575</v>
      </c>
      <c r="N45" s="16">
        <f t="shared" ca="1" si="6"/>
        <v>-63.810107256460697</v>
      </c>
      <c r="P45" s="4">
        <f t="shared" ca="1" si="7"/>
        <v>-0.11316197515505254</v>
      </c>
    </row>
    <row r="46" spans="1:26" x14ac:dyDescent="0.2">
      <c r="A46" s="4">
        <v>24</v>
      </c>
      <c r="B46" s="4">
        <f t="shared" si="3"/>
        <v>330</v>
      </c>
      <c r="C46" s="16">
        <f t="shared" ca="1" si="0"/>
        <v>863.26937288690965</v>
      </c>
      <c r="D46" s="16">
        <f t="shared" ca="1" si="1"/>
        <v>700.0341684753671</v>
      </c>
      <c r="E46" s="16"/>
      <c r="I46" s="4">
        <f t="shared" si="2"/>
        <v>670</v>
      </c>
      <c r="J46" s="16"/>
      <c r="K46" s="16">
        <f t="shared" ca="1" si="4"/>
        <v>163.23520441154255</v>
      </c>
      <c r="M46" s="16">
        <f t="shared" ca="1" si="5"/>
        <v>-0.29173165634387793</v>
      </c>
      <c r="N46" s="16">
        <f t="shared" ca="1" si="6"/>
        <v>-61.665150893487521</v>
      </c>
      <c r="P46" s="4">
        <f t="shared" ca="1" si="7"/>
        <v>0.98811360828708306</v>
      </c>
    </row>
    <row r="47" spans="1:26" x14ac:dyDescent="0.2">
      <c r="A47" s="4">
        <v>25</v>
      </c>
      <c r="B47" s="4">
        <f t="shared" si="3"/>
        <v>340</v>
      </c>
      <c r="C47" s="16">
        <f t="shared" ca="1" si="0"/>
        <v>728.4186639356866</v>
      </c>
      <c r="D47" s="16">
        <f t="shared" ca="1" si="1"/>
        <v>720.00802064918344</v>
      </c>
      <c r="E47" s="16"/>
      <c r="I47" s="4">
        <f t="shared" si="2"/>
        <v>690</v>
      </c>
      <c r="J47" s="16"/>
      <c r="K47" s="16">
        <f t="shared" ca="1" si="4"/>
        <v>8.4106432865031593</v>
      </c>
      <c r="M47" s="16">
        <f t="shared" ca="1" si="5"/>
        <v>-0.24910612912047844</v>
      </c>
      <c r="N47" s="16">
        <f t="shared" ca="1" si="6"/>
        <v>-47.89647652795793</v>
      </c>
      <c r="P47" s="4">
        <f t="shared" ca="1" si="7"/>
        <v>5.0912247243490513E-2</v>
      </c>
    </row>
    <row r="48" spans="1:26" x14ac:dyDescent="0.2">
      <c r="A48" s="4">
        <v>26</v>
      </c>
      <c r="B48" s="4">
        <f t="shared" si="3"/>
        <v>350</v>
      </c>
      <c r="C48" s="16">
        <f t="shared" ca="1" si="0"/>
        <v>1011.3414729016724</v>
      </c>
      <c r="D48" s="16">
        <f t="shared" ca="1" si="1"/>
        <v>739.98187282299989</v>
      </c>
      <c r="E48" s="16"/>
      <c r="I48" s="4">
        <f t="shared" si="2"/>
        <v>710</v>
      </c>
      <c r="J48" s="16"/>
      <c r="K48" s="16">
        <f t="shared" ca="1" si="4"/>
        <v>271.35960007867254</v>
      </c>
      <c r="M48" s="16">
        <f t="shared" ca="1" si="5"/>
        <v>-0.20692865960210596</v>
      </c>
      <c r="N48" s="16">
        <f t="shared" ca="1" si="6"/>
        <v>-41.572632997101437</v>
      </c>
      <c r="P48" s="4">
        <f t="shared" ca="1" si="7"/>
        <v>1.6426243011958814</v>
      </c>
    </row>
    <row r="49" spans="1:16" x14ac:dyDescent="0.2">
      <c r="A49" s="4">
        <v>27</v>
      </c>
      <c r="B49" s="4">
        <f t="shared" si="3"/>
        <v>360</v>
      </c>
      <c r="C49" s="16">
        <f t="shared" ca="1" si="0"/>
        <v>645.1286247780788</v>
      </c>
      <c r="D49" s="16">
        <f t="shared" ca="1" si="1"/>
        <v>759.95572499681623</v>
      </c>
      <c r="E49" s="16"/>
      <c r="I49" s="4">
        <f t="shared" si="2"/>
        <v>730</v>
      </c>
      <c r="J49" s="16"/>
      <c r="K49" s="16">
        <f t="shared" ca="1" si="4"/>
        <v>-114.82710021873743</v>
      </c>
      <c r="M49" s="16">
        <f t="shared" ca="1" si="5"/>
        <v>-0.16511628036201545</v>
      </c>
      <c r="N49" s="16">
        <f t="shared" ca="1" si="6"/>
        <v>-39.948509750276344</v>
      </c>
      <c r="P49" s="4">
        <f t="shared" ca="1" si="7"/>
        <v>-0.69508425425328224</v>
      </c>
    </row>
    <row r="50" spans="1:16" x14ac:dyDescent="0.2">
      <c r="A50" s="4">
        <v>28</v>
      </c>
      <c r="B50" s="4">
        <f t="shared" si="3"/>
        <v>370</v>
      </c>
      <c r="C50" s="16">
        <f t="shared" ca="1" si="0"/>
        <v>1019.7167048737972</v>
      </c>
      <c r="D50" s="16">
        <f t="shared" ca="1" si="1"/>
        <v>779.92957717063257</v>
      </c>
      <c r="E50" s="16"/>
      <c r="I50" s="4">
        <f t="shared" si="2"/>
        <v>750</v>
      </c>
      <c r="J50" s="16"/>
      <c r="K50" s="16">
        <f t="shared" ca="1" si="4"/>
        <v>239.78712770316463</v>
      </c>
      <c r="M50" s="16">
        <f t="shared" ca="1" si="5"/>
        <v>-0.12359071527033426</v>
      </c>
      <c r="N50" s="16">
        <f t="shared" ca="1" si="6"/>
        <v>-37.233204058241654</v>
      </c>
      <c r="P50" s="4">
        <f t="shared" ca="1" si="7"/>
        <v>1.4515062778872931</v>
      </c>
    </row>
    <row r="51" spans="1:16" x14ac:dyDescent="0.2">
      <c r="A51" s="4">
        <v>29</v>
      </c>
      <c r="B51" s="4">
        <f t="shared" si="3"/>
        <v>380</v>
      </c>
      <c r="C51" s="16">
        <f t="shared" ca="1" si="0"/>
        <v>937.25890632442315</v>
      </c>
      <c r="D51" s="16">
        <f t="shared" ca="1" si="1"/>
        <v>799.90342934444891</v>
      </c>
      <c r="E51" s="16"/>
      <c r="I51" s="4">
        <f t="shared" si="2"/>
        <v>770</v>
      </c>
      <c r="J51" s="16"/>
      <c r="K51" s="16">
        <f t="shared" ca="1" si="4"/>
        <v>137.35547697997424</v>
      </c>
      <c r="M51" s="16">
        <f t="shared" ca="1" si="5"/>
        <v>-8.2277269409773535E-2</v>
      </c>
      <c r="N51" s="16">
        <f t="shared" ca="1" si="6"/>
        <v>-35.980457183565022</v>
      </c>
      <c r="P51" s="4">
        <f t="shared" ca="1" si="7"/>
        <v>0.83145554579327374</v>
      </c>
    </row>
    <row r="52" spans="1:16" x14ac:dyDescent="0.2">
      <c r="A52" s="4">
        <v>30</v>
      </c>
      <c r="B52" s="4">
        <f t="shared" si="3"/>
        <v>390</v>
      </c>
      <c r="C52" s="16">
        <f t="shared" ca="1" si="0"/>
        <v>593.14232424659269</v>
      </c>
      <c r="D52" s="16">
        <f t="shared" ca="1" si="1"/>
        <v>819.87728151826525</v>
      </c>
      <c r="E52" s="16"/>
      <c r="I52" s="4">
        <f t="shared" si="2"/>
        <v>790</v>
      </c>
      <c r="J52" s="16"/>
      <c r="K52" s="16">
        <f t="shared" ca="1" si="4"/>
        <v>-226.73495727167256</v>
      </c>
      <c r="M52" s="16">
        <f t="shared" ca="1" si="5"/>
        <v>-4.1103838195111958E-2</v>
      </c>
      <c r="N52" s="16">
        <f t="shared" ca="1" si="6"/>
        <v>-30.95399932296425</v>
      </c>
      <c r="P52" s="4">
        <f t="shared" ca="1" si="7"/>
        <v>-1.3724974190597323</v>
      </c>
    </row>
    <row r="53" spans="1:16" x14ac:dyDescent="0.2">
      <c r="A53" s="4">
        <v>31</v>
      </c>
      <c r="B53" s="4">
        <f t="shared" si="3"/>
        <v>400</v>
      </c>
      <c r="C53" s="16">
        <f t="shared" ca="1" si="0"/>
        <v>1078.5318364902307</v>
      </c>
      <c r="D53" s="16">
        <f t="shared" ca="1" si="1"/>
        <v>839.8511336920817</v>
      </c>
      <c r="E53" s="16"/>
      <c r="I53" s="4">
        <f t="shared" si="2"/>
        <v>810</v>
      </c>
      <c r="J53" s="16"/>
      <c r="K53" s="16">
        <f t="shared" ca="1" si="4"/>
        <v>238.68070279814901</v>
      </c>
      <c r="M53" s="16">
        <f t="shared" ca="1" si="5"/>
        <v>0</v>
      </c>
      <c r="N53" s="16">
        <f t="shared" ca="1" si="6"/>
        <v>-20.837588088212215</v>
      </c>
      <c r="P53" s="4">
        <f t="shared" ca="1" si="7"/>
        <v>1.4448087428234881</v>
      </c>
    </row>
    <row r="54" spans="1:16" x14ac:dyDescent="0.2">
      <c r="A54" s="4">
        <v>32</v>
      </c>
      <c r="B54" s="4">
        <f t="shared" si="3"/>
        <v>410</v>
      </c>
      <c r="C54" s="16">
        <f t="shared" ca="1" si="0"/>
        <v>901.76989407453004</v>
      </c>
      <c r="D54" s="16">
        <f t="shared" ca="1" si="1"/>
        <v>859.82498586589804</v>
      </c>
      <c r="E54" s="16"/>
      <c r="I54" s="4">
        <f t="shared" si="2"/>
        <v>830</v>
      </c>
      <c r="J54" s="16"/>
      <c r="K54" s="16">
        <f t="shared" ca="1" si="4"/>
        <v>41.944908208632</v>
      </c>
      <c r="M54" s="16">
        <f t="shared" ca="1" si="5"/>
        <v>4.1103838195111958E-2</v>
      </c>
      <c r="N54" s="16">
        <f t="shared" ca="1" si="6"/>
        <v>-18.694225027495122</v>
      </c>
      <c r="P54" s="4">
        <f t="shared" ca="1" si="7"/>
        <v>0.253905612755009</v>
      </c>
    </row>
    <row r="55" spans="1:16" x14ac:dyDescent="0.2">
      <c r="A55" s="4">
        <v>33</v>
      </c>
      <c r="B55" s="4">
        <f t="shared" si="3"/>
        <v>420</v>
      </c>
      <c r="C55" s="16">
        <f t="shared" ref="C55:C83" ca="1" si="8">IF(AND($B$15&gt;0,AVERAGE($I$23:$I$83)),_xlfn.NORM.INV(RAND(),I55,$B$15*ABS(AVERAGE($I$23:$I$83))),I55)</f>
        <v>1106.3571841283156</v>
      </c>
      <c r="D55" s="16">
        <f t="shared" ca="1" si="1"/>
        <v>879.79883803971438</v>
      </c>
      <c r="E55" s="16"/>
      <c r="I55" s="4">
        <f t="shared" ref="I55:I83" si="9">$B$8*B55+$B$9</f>
        <v>850</v>
      </c>
      <c r="J55" s="16"/>
      <c r="K55" s="16">
        <f t="shared" ca="1" si="4"/>
        <v>226.55834608860118</v>
      </c>
      <c r="M55" s="16">
        <f t="shared" ca="1" si="5"/>
        <v>8.2277269409773673E-2</v>
      </c>
      <c r="N55" s="16">
        <f t="shared" ca="1" si="6"/>
        <v>-16.688582274500732</v>
      </c>
      <c r="P55" s="4">
        <f t="shared" ca="1" si="7"/>
        <v>1.3714283364804098</v>
      </c>
    </row>
    <row r="56" spans="1:16" x14ac:dyDescent="0.2">
      <c r="A56" s="4">
        <v>34</v>
      </c>
      <c r="B56" s="4">
        <f t="shared" si="3"/>
        <v>430</v>
      </c>
      <c r="C56" s="16">
        <f t="shared" ca="1" si="8"/>
        <v>924.92063340190828</v>
      </c>
      <c r="D56" s="16">
        <f t="shared" ca="1" si="1"/>
        <v>899.77269021353072</v>
      </c>
      <c r="E56" s="16"/>
      <c r="I56" s="4">
        <f t="shared" si="9"/>
        <v>870</v>
      </c>
      <c r="J56" s="16"/>
      <c r="K56" s="16">
        <f t="shared" ca="1" si="4"/>
        <v>25.147943188377553</v>
      </c>
      <c r="M56" s="16">
        <f t="shared" ca="1" si="5"/>
        <v>0.1235907152703344</v>
      </c>
      <c r="N56" s="16">
        <f t="shared" ca="1" si="6"/>
        <v>-10.760752448144217</v>
      </c>
      <c r="P56" s="4">
        <f t="shared" ca="1" si="7"/>
        <v>0.15222834421316297</v>
      </c>
    </row>
    <row r="57" spans="1:16" x14ac:dyDescent="0.2">
      <c r="A57" s="4">
        <v>35</v>
      </c>
      <c r="B57" s="4">
        <f t="shared" si="3"/>
        <v>440</v>
      </c>
      <c r="C57" s="16">
        <f t="shared" ca="1" si="8"/>
        <v>1007.2483590419409</v>
      </c>
      <c r="D57" s="16">
        <f t="shared" ca="1" si="1"/>
        <v>919.74654238734706</v>
      </c>
      <c r="E57" s="16"/>
      <c r="I57" s="4">
        <f t="shared" si="9"/>
        <v>890</v>
      </c>
      <c r="J57" s="16"/>
      <c r="K57" s="16">
        <f t="shared" ca="1" si="4"/>
        <v>87.501816654593881</v>
      </c>
      <c r="M57" s="16">
        <f t="shared" ca="1" si="5"/>
        <v>0.16511628036201531</v>
      </c>
      <c r="N57" s="16">
        <f t="shared" ca="1" si="6"/>
        <v>8.4106432865031593</v>
      </c>
      <c r="P57" s="4">
        <f t="shared" ca="1" si="7"/>
        <v>0.52967578959414552</v>
      </c>
    </row>
    <row r="58" spans="1:16" x14ac:dyDescent="0.2">
      <c r="A58" s="4">
        <v>36</v>
      </c>
      <c r="B58" s="4">
        <f t="shared" si="3"/>
        <v>450</v>
      </c>
      <c r="C58" s="16">
        <f t="shared" ca="1" si="8"/>
        <v>738.55772634825325</v>
      </c>
      <c r="D58" s="16">
        <f t="shared" ref="D58:D83" ca="1" si="10">TREND($C$33:$C$73,$B$33:$B$73,B58)</f>
        <v>939.72039456116352</v>
      </c>
      <c r="E58" s="16"/>
      <c r="I58" s="4">
        <f t="shared" si="9"/>
        <v>910</v>
      </c>
      <c r="J58" s="16"/>
      <c r="K58" s="16">
        <f t="shared" ca="1" si="4"/>
        <v>-201.16266821291026</v>
      </c>
      <c r="M58" s="16">
        <f t="shared" ca="1" si="5"/>
        <v>0.20692865960210596</v>
      </c>
      <c r="N58" s="16">
        <f t="shared" ca="1" si="6"/>
        <v>11.008366775270247</v>
      </c>
      <c r="P58" s="4">
        <f t="shared" ca="1" si="7"/>
        <v>-1.2177003769320529</v>
      </c>
    </row>
    <row r="59" spans="1:16" x14ac:dyDescent="0.2">
      <c r="A59" s="4">
        <v>37</v>
      </c>
      <c r="B59" s="4">
        <f t="shared" si="3"/>
        <v>460</v>
      </c>
      <c r="C59" s="16">
        <f t="shared" ca="1" si="8"/>
        <v>898.02909584149234</v>
      </c>
      <c r="D59" s="16">
        <f t="shared" ca="1" si="10"/>
        <v>959.69424673497986</v>
      </c>
      <c r="E59" s="16"/>
      <c r="I59" s="4">
        <f t="shared" si="9"/>
        <v>930</v>
      </c>
      <c r="J59" s="16"/>
      <c r="K59" s="16">
        <f t="shared" ca="1" si="4"/>
        <v>-61.665150893487521</v>
      </c>
      <c r="M59" s="16">
        <f t="shared" ca="1" si="5"/>
        <v>0.24910612912047844</v>
      </c>
      <c r="N59" s="16">
        <f t="shared" ca="1" si="6"/>
        <v>14.352437867521758</v>
      </c>
      <c r="P59" s="4">
        <f t="shared" ca="1" si="7"/>
        <v>-0.37327839282334868</v>
      </c>
    </row>
    <row r="60" spans="1:16" x14ac:dyDescent="0.2">
      <c r="A60" s="4">
        <v>38</v>
      </c>
      <c r="B60" s="4">
        <f t="shared" si="3"/>
        <v>470</v>
      </c>
      <c r="C60" s="16">
        <f t="shared" ca="1" si="8"/>
        <v>958.83051082058398</v>
      </c>
      <c r="D60" s="16">
        <f t="shared" ca="1" si="10"/>
        <v>979.6680989087962</v>
      </c>
      <c r="E60" s="16"/>
      <c r="I60" s="4">
        <f t="shared" si="9"/>
        <v>950</v>
      </c>
      <c r="J60" s="16"/>
      <c r="K60" s="16">
        <f t="shared" ca="1" si="4"/>
        <v>-20.837588088212215</v>
      </c>
      <c r="M60" s="16">
        <f t="shared" ca="1" si="5"/>
        <v>0.29173165634387793</v>
      </c>
      <c r="N60" s="16">
        <f t="shared" ca="1" si="6"/>
        <v>15.878811576292719</v>
      </c>
      <c r="P60" s="4">
        <f t="shared" ca="1" si="7"/>
        <v>-0.12613642031490221</v>
      </c>
    </row>
    <row r="61" spans="1:16" x14ac:dyDescent="0.2">
      <c r="A61" s="4">
        <v>39</v>
      </c>
      <c r="B61" s="4">
        <f t="shared" si="3"/>
        <v>480</v>
      </c>
      <c r="C61" s="16">
        <f t="shared" ca="1" si="8"/>
        <v>759.76568852275238</v>
      </c>
      <c r="D61" s="16">
        <f t="shared" ca="1" si="10"/>
        <v>999.64195108261254</v>
      </c>
      <c r="E61" s="16"/>
      <c r="I61" s="4">
        <f t="shared" si="9"/>
        <v>970</v>
      </c>
      <c r="J61" s="16"/>
      <c r="K61" s="16">
        <f t="shared" ca="1" si="4"/>
        <v>-239.87626255986015</v>
      </c>
      <c r="M61" s="16">
        <f t="shared" ca="1" si="5"/>
        <v>0.33489417272961586</v>
      </c>
      <c r="N61" s="16">
        <f t="shared" ca="1" si="6"/>
        <v>22.340370501169218</v>
      </c>
      <c r="P61" s="4">
        <f t="shared" ca="1" si="7"/>
        <v>-1.4520458389776294</v>
      </c>
    </row>
    <row r="62" spans="1:16" x14ac:dyDescent="0.2">
      <c r="A62" s="4">
        <v>40</v>
      </c>
      <c r="B62" s="4">
        <f t="shared" si="3"/>
        <v>490</v>
      </c>
      <c r="C62" s="16">
        <f t="shared" ca="1" si="8"/>
        <v>988.66180393346474</v>
      </c>
      <c r="D62" s="16">
        <f t="shared" ca="1" si="10"/>
        <v>1019.615803256429</v>
      </c>
      <c r="I62" s="4">
        <f t="shared" si="9"/>
        <v>990</v>
      </c>
      <c r="K62" s="16">
        <f t="shared" ca="1" si="4"/>
        <v>-30.95399932296425</v>
      </c>
      <c r="M62" s="16">
        <f t="shared" ca="1" si="5"/>
        <v>0.37869006372459091</v>
      </c>
      <c r="N62" s="16">
        <f t="shared" ca="1" si="6"/>
        <v>25.147943188377553</v>
      </c>
      <c r="P62" s="4">
        <f t="shared" ca="1" si="7"/>
        <v>-0.18737421300871882</v>
      </c>
    </row>
    <row r="63" spans="1:16" x14ac:dyDescent="0.2">
      <c r="A63" s="4">
        <v>41</v>
      </c>
      <c r="B63" s="4">
        <f t="shared" si="3"/>
        <v>500</v>
      </c>
      <c r="C63" s="16">
        <f t="shared" ca="1" si="8"/>
        <v>1155.8161717603473</v>
      </c>
      <c r="D63" s="16">
        <f t="shared" ca="1" si="10"/>
        <v>1039.5896554302453</v>
      </c>
      <c r="I63" s="4">
        <f t="shared" si="9"/>
        <v>1010</v>
      </c>
      <c r="K63" s="16">
        <f t="shared" ca="1" si="4"/>
        <v>116.22651633010196</v>
      </c>
      <c r="M63" s="16">
        <f t="shared" ca="1" si="5"/>
        <v>0.42322494632168789</v>
      </c>
      <c r="N63" s="16">
        <f t="shared" ca="1" si="6"/>
        <v>29.059409606509064</v>
      </c>
      <c r="P63" s="4">
        <f t="shared" ca="1" si="7"/>
        <v>0.70355535647832235</v>
      </c>
    </row>
    <row r="64" spans="1:16" x14ac:dyDescent="0.2">
      <c r="A64" s="4">
        <v>42</v>
      </c>
      <c r="B64" s="4">
        <f t="shared" si="3"/>
        <v>510</v>
      </c>
      <c r="C64" s="16">
        <f t="shared" ca="1" si="8"/>
        <v>903.18726131990002</v>
      </c>
      <c r="D64" s="16">
        <f t="shared" ca="1" si="10"/>
        <v>1059.5635076040617</v>
      </c>
      <c r="I64" s="4">
        <f t="shared" si="9"/>
        <v>1030</v>
      </c>
      <c r="K64" s="16">
        <f t="shared" ca="1" si="4"/>
        <v>-156.37624628416165</v>
      </c>
      <c r="M64" s="16">
        <f t="shared" ca="1" si="5"/>
        <v>0.46861582700232868</v>
      </c>
      <c r="N64" s="16">
        <f t="shared" ca="1" si="6"/>
        <v>37.85024975442883</v>
      </c>
      <c r="P64" s="4">
        <f t="shared" ca="1" si="7"/>
        <v>-0.94659419531015354</v>
      </c>
    </row>
    <row r="65" spans="1:16" x14ac:dyDescent="0.2">
      <c r="A65" s="4">
        <v>43</v>
      </c>
      <c r="B65" s="4">
        <f t="shared" si="3"/>
        <v>520</v>
      </c>
      <c r="C65" s="16">
        <f t="shared" ca="1" si="8"/>
        <v>1237.2766834807103</v>
      </c>
      <c r="D65" s="16">
        <f t="shared" ca="1" si="10"/>
        <v>1079.537359777878</v>
      </c>
      <c r="I65" s="4">
        <f t="shared" si="9"/>
        <v>1050</v>
      </c>
      <c r="K65" s="16">
        <f t="shared" ca="1" si="4"/>
        <v>157.73932370283228</v>
      </c>
      <c r="M65" s="16">
        <f t="shared" ca="1" si="5"/>
        <v>0.51499376488951132</v>
      </c>
      <c r="N65" s="16">
        <f t="shared" ca="1" si="6"/>
        <v>41.644758248866992</v>
      </c>
      <c r="P65" s="4">
        <f t="shared" ca="1" si="7"/>
        <v>0.95484532809362821</v>
      </c>
    </row>
    <row r="66" spans="1:16" x14ac:dyDescent="0.2">
      <c r="A66" s="4">
        <v>44</v>
      </c>
      <c r="B66" s="4">
        <f t="shared" si="3"/>
        <v>530</v>
      </c>
      <c r="C66" s="16">
        <f t="shared" ca="1" si="8"/>
        <v>1191.5117184333881</v>
      </c>
      <c r="D66" s="16">
        <f t="shared" ca="1" si="10"/>
        <v>1099.5112119516943</v>
      </c>
      <c r="I66" s="4">
        <f t="shared" si="9"/>
        <v>1070</v>
      </c>
      <c r="K66" s="16">
        <f t="shared" ca="1" si="4"/>
        <v>92.000506481693719</v>
      </c>
      <c r="M66" s="16">
        <f t="shared" ca="1" si="5"/>
        <v>0.56250721125482239</v>
      </c>
      <c r="N66" s="16">
        <f t="shared" ca="1" si="6"/>
        <v>41.944908208632</v>
      </c>
      <c r="P66" s="4">
        <f t="shared" ca="1" si="7"/>
        <v>0.55690776233951544</v>
      </c>
    </row>
    <row r="67" spans="1:16" x14ac:dyDescent="0.2">
      <c r="A67" s="4">
        <v>45</v>
      </c>
      <c r="B67" s="4">
        <f t="shared" si="3"/>
        <v>540</v>
      </c>
      <c r="C67" s="16">
        <f t="shared" ca="1" si="8"/>
        <v>1017.9250395702047</v>
      </c>
      <c r="D67" s="16">
        <f t="shared" ca="1" si="10"/>
        <v>1119.4850641255107</v>
      </c>
      <c r="I67" s="4">
        <f t="shared" si="9"/>
        <v>1090</v>
      </c>
      <c r="K67" s="16">
        <f t="shared" ca="1" si="4"/>
        <v>-101.56002455530597</v>
      </c>
      <c r="M67" s="16">
        <f t="shared" ca="1" si="5"/>
        <v>0.6113262645170503</v>
      </c>
      <c r="N67" s="16">
        <f t="shared" ca="1" si="6"/>
        <v>87.501816654593881</v>
      </c>
      <c r="P67" s="4">
        <f t="shared" ca="1" si="7"/>
        <v>-0.61477450702400127</v>
      </c>
    </row>
    <row r="68" spans="1:16" x14ac:dyDescent="0.2">
      <c r="A68" s="4">
        <v>46</v>
      </c>
      <c r="B68" s="4">
        <f t="shared" si="3"/>
        <v>550</v>
      </c>
      <c r="C68" s="16">
        <f t="shared" ca="1" si="8"/>
        <v>865.09515682049357</v>
      </c>
      <c r="D68" s="16">
        <f t="shared" ca="1" si="10"/>
        <v>1139.458916299327</v>
      </c>
      <c r="I68" s="4">
        <f t="shared" si="9"/>
        <v>1110</v>
      </c>
      <c r="K68" s="16">
        <f t="shared" ca="1" si="4"/>
        <v>-274.36375947883346</v>
      </c>
      <c r="M68" s="16">
        <f t="shared" ca="1" si="5"/>
        <v>0.66164818150675164</v>
      </c>
      <c r="N68" s="16">
        <f t="shared" ca="1" si="6"/>
        <v>92.000506481693719</v>
      </c>
      <c r="P68" s="4">
        <f t="shared" ca="1" si="7"/>
        <v>-1.660809415096181</v>
      </c>
    </row>
    <row r="69" spans="1:16" x14ac:dyDescent="0.2">
      <c r="A69" s="4">
        <v>47</v>
      </c>
      <c r="B69" s="4">
        <f t="shared" si="3"/>
        <v>560</v>
      </c>
      <c r="C69" s="16">
        <f t="shared" ca="1" si="8"/>
        <v>1175.3115800494361</v>
      </c>
      <c r="D69" s="16">
        <f t="shared" ca="1" si="10"/>
        <v>1159.4327684731434</v>
      </c>
      <c r="I69" s="4">
        <f t="shared" si="9"/>
        <v>1130</v>
      </c>
      <c r="K69" s="16">
        <f t="shared" ca="1" si="4"/>
        <v>15.878811576292719</v>
      </c>
      <c r="M69" s="16">
        <f t="shared" ca="1" si="5"/>
        <v>0.71370464091026031</v>
      </c>
      <c r="N69" s="16">
        <f t="shared" ca="1" si="6"/>
        <v>116.22651633010196</v>
      </c>
      <c r="P69" s="4">
        <f t="shared" ca="1" si="7"/>
        <v>9.6119399357041155E-2</v>
      </c>
    </row>
    <row r="70" spans="1:16" x14ac:dyDescent="0.2">
      <c r="A70" s="4">
        <v>48</v>
      </c>
      <c r="B70" s="4">
        <f t="shared" si="3"/>
        <v>570</v>
      </c>
      <c r="C70" s="16">
        <f t="shared" ca="1" si="8"/>
        <v>1324.7737704041115</v>
      </c>
      <c r="D70" s="16">
        <f t="shared" ca="1" si="10"/>
        <v>1179.4066206469597</v>
      </c>
      <c r="I70" s="4">
        <f t="shared" si="9"/>
        <v>1150</v>
      </c>
      <c r="K70" s="16">
        <f t="shared" ca="1" si="4"/>
        <v>145.36714975715176</v>
      </c>
      <c r="M70" s="16">
        <f t="shared" ca="1" si="5"/>
        <v>0.76777149733342365</v>
      </c>
      <c r="N70" s="16">
        <f t="shared" ca="1" si="6"/>
        <v>137.35547697997424</v>
      </c>
      <c r="P70" s="4">
        <f t="shared" ca="1" si="7"/>
        <v>0.87995270009776827</v>
      </c>
    </row>
    <row r="71" spans="1:16" x14ac:dyDescent="0.2">
      <c r="A71" s="4">
        <v>49</v>
      </c>
      <c r="B71" s="4">
        <f t="shared" si="3"/>
        <v>580</v>
      </c>
      <c r="C71" s="16">
        <f t="shared" ca="1" si="8"/>
        <v>1157.8078398236746</v>
      </c>
      <c r="D71" s="16">
        <f t="shared" ca="1" si="10"/>
        <v>1199.380472820776</v>
      </c>
      <c r="I71" s="4">
        <f t="shared" si="9"/>
        <v>1170</v>
      </c>
      <c r="K71" s="16">
        <f t="shared" ca="1" si="4"/>
        <v>-41.572632997101437</v>
      </c>
      <c r="M71" s="16">
        <f t="shared" ca="1" si="5"/>
        <v>0.82418215399637573</v>
      </c>
      <c r="N71" s="16">
        <f t="shared" ca="1" si="6"/>
        <v>139.74760466637792</v>
      </c>
      <c r="P71" s="4">
        <f t="shared" ca="1" si="7"/>
        <v>-0.25165211478030808</v>
      </c>
    </row>
    <row r="72" spans="1:16" x14ac:dyDescent="0.2">
      <c r="A72" s="4">
        <v>50</v>
      </c>
      <c r="B72" s="4">
        <f t="shared" si="3"/>
        <v>590</v>
      </c>
      <c r="C72" s="16">
        <f t="shared" ca="1" si="8"/>
        <v>1141.1520853258985</v>
      </c>
      <c r="D72" s="16">
        <f t="shared" ca="1" si="10"/>
        <v>1219.3543249945924</v>
      </c>
      <c r="I72" s="4">
        <f t="shared" si="9"/>
        <v>1190</v>
      </c>
      <c r="K72" s="16">
        <f t="shared" ca="1" si="4"/>
        <v>-78.202239668693892</v>
      </c>
      <c r="M72" s="16">
        <f t="shared" ca="1" si="5"/>
        <v>0.88334632750869224</v>
      </c>
      <c r="N72" s="16">
        <f t="shared" ca="1" si="6"/>
        <v>145.36714975715176</v>
      </c>
      <c r="P72" s="4">
        <f t="shared" ca="1" si="7"/>
        <v>-0.47338254939386315</v>
      </c>
    </row>
    <row r="73" spans="1:16" x14ac:dyDescent="0.2">
      <c r="A73" s="4">
        <v>51</v>
      </c>
      <c r="B73" s="4">
        <f t="shared" si="3"/>
        <v>600</v>
      </c>
      <c r="C73" s="16">
        <f t="shared" ca="1" si="8"/>
        <v>1253.6806150359305</v>
      </c>
      <c r="D73" s="16">
        <f t="shared" ca="1" si="10"/>
        <v>1239.3281771684087</v>
      </c>
      <c r="I73" s="4">
        <f t="shared" si="9"/>
        <v>1210</v>
      </c>
      <c r="K73" s="16">
        <f t="shared" ca="1" si="4"/>
        <v>14.352437867521758</v>
      </c>
      <c r="M73" s="16">
        <f t="shared" ca="1" si="5"/>
        <v>0.94577708618931966</v>
      </c>
      <c r="N73" s="16">
        <f t="shared" ca="1" si="6"/>
        <v>153.1899245293373</v>
      </c>
      <c r="P73" s="4">
        <f t="shared" ca="1" si="7"/>
        <v>8.6879783194551363E-2</v>
      </c>
    </row>
    <row r="74" spans="1:16" x14ac:dyDescent="0.2">
      <c r="A74" s="4">
        <v>52</v>
      </c>
      <c r="B74" s="4">
        <f t="shared" si="3"/>
        <v>610</v>
      </c>
      <c r="C74" s="16">
        <f t="shared" ca="1" si="8"/>
        <v>1514.0229089310342</v>
      </c>
      <c r="D74" s="16">
        <f t="shared" ca="1" si="10"/>
        <v>1259.3020293422255</v>
      </c>
      <c r="I74" s="4">
        <f t="shared" si="9"/>
        <v>1230</v>
      </c>
      <c r="K74" s="16">
        <f t="shared" ca="1" si="4"/>
        <v>254.72087958880866</v>
      </c>
      <c r="M74" s="16">
        <f t="shared" ca="1" si="5"/>
        <v>1.0121310253729585</v>
      </c>
      <c r="N74" s="16">
        <f t="shared" ca="1" si="6"/>
        <v>157.73932370283228</v>
      </c>
      <c r="P74" s="4">
        <f t="shared" ca="1" si="7"/>
        <v>1.541904936155793</v>
      </c>
    </row>
    <row r="75" spans="1:16" x14ac:dyDescent="0.2">
      <c r="A75" s="4">
        <v>53</v>
      </c>
      <c r="B75" s="4">
        <f t="shared" si="3"/>
        <v>620</v>
      </c>
      <c r="C75" s="16">
        <f t="shared" ca="1" si="8"/>
        <v>1215.4657742595812</v>
      </c>
      <c r="D75" s="16">
        <f t="shared" ca="1" si="10"/>
        <v>1279.2758815160419</v>
      </c>
      <c r="I75" s="4">
        <f t="shared" si="9"/>
        <v>1250</v>
      </c>
      <c r="K75" s="16">
        <f t="shared" ca="1" si="4"/>
        <v>-63.810107256460697</v>
      </c>
      <c r="M75" s="16">
        <f t="shared" ca="1" si="5"/>
        <v>1.0832701634896713</v>
      </c>
      <c r="N75" s="16">
        <f t="shared" ca="1" si="6"/>
        <v>163.23520441154255</v>
      </c>
      <c r="P75" s="4">
        <f t="shared" ca="1" si="7"/>
        <v>-0.38626248273873393</v>
      </c>
    </row>
    <row r="76" spans="1:16" x14ac:dyDescent="0.2">
      <c r="A76" s="4">
        <v>54</v>
      </c>
      <c r="B76" s="4">
        <f t="shared" si="3"/>
        <v>630</v>
      </c>
      <c r="C76" s="16">
        <f t="shared" ca="1" si="8"/>
        <v>1263.2692765062932</v>
      </c>
      <c r="D76" s="16">
        <f t="shared" ca="1" si="10"/>
        <v>1299.2497336898582</v>
      </c>
      <c r="I76" s="4">
        <f t="shared" si="9"/>
        <v>1270</v>
      </c>
      <c r="K76" s="16">
        <f t="shared" ca="1" si="4"/>
        <v>-35.980457183565022</v>
      </c>
      <c r="M76" s="16">
        <f t="shared" ca="1" si="5"/>
        <v>1.1603615380941534</v>
      </c>
      <c r="N76" s="16">
        <f t="shared" ca="1" si="6"/>
        <v>197.25033645258645</v>
      </c>
      <c r="P76" s="4">
        <f t="shared" ca="1" si="7"/>
        <v>-0.21780093028117256</v>
      </c>
    </row>
    <row r="77" spans="1:16" x14ac:dyDescent="0.2">
      <c r="A77" s="4">
        <v>55</v>
      </c>
      <c r="B77" s="4">
        <f t="shared" si="3"/>
        <v>640</v>
      </c>
      <c r="C77" s="16">
        <f t="shared" ca="1" si="8"/>
        <v>1472.4135103930118</v>
      </c>
      <c r="D77" s="16">
        <f t="shared" ca="1" si="10"/>
        <v>1319.2235858636745</v>
      </c>
      <c r="I77" s="4">
        <f t="shared" si="9"/>
        <v>1290</v>
      </c>
      <c r="K77" s="16">
        <f t="shared" ca="1" si="4"/>
        <v>153.1899245293373</v>
      </c>
      <c r="M77" s="16">
        <f t="shared" ca="1" si="5"/>
        <v>1.2450462387740626</v>
      </c>
      <c r="N77" s="16">
        <f t="shared" ca="1" si="6"/>
        <v>226.55834608860118</v>
      </c>
      <c r="P77" s="4">
        <f t="shared" ca="1" si="7"/>
        <v>0.92730639585737507</v>
      </c>
    </row>
    <row r="78" spans="1:16" x14ac:dyDescent="0.2">
      <c r="A78" s="4">
        <v>56</v>
      </c>
      <c r="B78" s="4">
        <f t="shared" si="3"/>
        <v>650</v>
      </c>
      <c r="C78" s="16">
        <f t="shared" ca="1" si="8"/>
        <v>1536.4477744900773</v>
      </c>
      <c r="D78" s="16">
        <f t="shared" ca="1" si="10"/>
        <v>1339.1974380374909</v>
      </c>
      <c r="I78" s="4">
        <f t="shared" si="9"/>
        <v>1310</v>
      </c>
      <c r="K78" s="16">
        <f t="shared" ca="1" si="4"/>
        <v>197.25033645258645</v>
      </c>
      <c r="M78" s="16">
        <f t="shared" ca="1" si="5"/>
        <v>1.3397462093910992</v>
      </c>
      <c r="N78" s="16">
        <f t="shared" ca="1" si="6"/>
        <v>238.68070279814901</v>
      </c>
      <c r="P78" s="4">
        <f t="shared" ca="1" si="7"/>
        <v>1.1940178124604617</v>
      </c>
    </row>
    <row r="79" spans="1:16" x14ac:dyDescent="0.2">
      <c r="A79" s="4">
        <v>57</v>
      </c>
      <c r="B79" s="4">
        <f t="shared" si="3"/>
        <v>660</v>
      </c>
      <c r="C79" s="16">
        <f t="shared" ca="1" si="8"/>
        <v>1311.2748136833493</v>
      </c>
      <c r="D79" s="16">
        <f t="shared" ca="1" si="10"/>
        <v>1359.1712902113072</v>
      </c>
      <c r="E79" s="16"/>
      <c r="I79" s="4">
        <f t="shared" si="9"/>
        <v>1330</v>
      </c>
      <c r="J79" s="16"/>
      <c r="K79" s="16">
        <f t="shared" ca="1" si="4"/>
        <v>-47.89647652795793</v>
      </c>
      <c r="M79" s="16">
        <f t="shared" ca="1" si="5"/>
        <v>1.4482720415077512</v>
      </c>
      <c r="N79" s="16">
        <f t="shared" ca="1" si="6"/>
        <v>239.78712770316463</v>
      </c>
      <c r="P79" s="4">
        <f t="shared" ca="1" si="7"/>
        <v>-0.28993231219264815</v>
      </c>
    </row>
    <row r="80" spans="1:16" x14ac:dyDescent="0.2">
      <c r="A80" s="4">
        <v>58</v>
      </c>
      <c r="B80" s="4">
        <f t="shared" si="3"/>
        <v>670</v>
      </c>
      <c r="C80" s="16">
        <f t="shared" ca="1" si="8"/>
        <v>1401.4855128862928</v>
      </c>
      <c r="D80" s="16">
        <f t="shared" ca="1" si="10"/>
        <v>1379.1451423851236</v>
      </c>
      <c r="E80" s="16"/>
      <c r="I80" s="4">
        <f t="shared" si="9"/>
        <v>1350</v>
      </c>
      <c r="J80" s="16"/>
      <c r="K80" s="16">
        <f t="shared" ca="1" si="4"/>
        <v>22.340370501169218</v>
      </c>
      <c r="M80" s="16">
        <f t="shared" ca="1" si="5"/>
        <v>1.5771800660678668</v>
      </c>
      <c r="N80" s="16">
        <f t="shared" ca="1" si="6"/>
        <v>254.72087958880866</v>
      </c>
      <c r="P80" s="4">
        <f t="shared" ca="1" si="7"/>
        <v>0.13523323100528239</v>
      </c>
    </row>
    <row r="81" spans="1:16" x14ac:dyDescent="0.2">
      <c r="A81" s="4">
        <v>59</v>
      </c>
      <c r="B81" s="4">
        <f t="shared" si="3"/>
        <v>680</v>
      </c>
      <c r="C81" s="16">
        <f t="shared" ca="1" si="8"/>
        <v>1440.7637528078069</v>
      </c>
      <c r="D81" s="16">
        <f t="shared" ca="1" si="10"/>
        <v>1399.1189945589399</v>
      </c>
      <c r="E81" s="16"/>
      <c r="I81" s="4">
        <f t="shared" si="9"/>
        <v>1370</v>
      </c>
      <c r="J81" s="16"/>
      <c r="K81" s="16">
        <f t="shared" ca="1" si="4"/>
        <v>41.644758248866992</v>
      </c>
      <c r="M81" s="16">
        <f t="shared" ca="1" si="5"/>
        <v>1.7393841569195554</v>
      </c>
      <c r="N81" s="16">
        <f t="shared" ca="1" si="6"/>
        <v>264.62476900339493</v>
      </c>
      <c r="P81" s="4">
        <f t="shared" ca="1" si="7"/>
        <v>0.25208871142640282</v>
      </c>
    </row>
    <row r="82" spans="1:16" x14ac:dyDescent="0.2">
      <c r="A82" s="4">
        <v>60</v>
      </c>
      <c r="B82" s="4">
        <f t="shared" si="3"/>
        <v>690</v>
      </c>
      <c r="C82" s="16">
        <f t="shared" ca="1" si="8"/>
        <v>1402.4042644582555</v>
      </c>
      <c r="D82" s="16">
        <f t="shared" ca="1" si="10"/>
        <v>1419.0928467327562</v>
      </c>
      <c r="E82" s="16"/>
      <c r="I82" s="4">
        <f t="shared" si="9"/>
        <v>1390</v>
      </c>
      <c r="J82" s="16"/>
      <c r="K82" s="16">
        <f t="shared" ca="1" si="4"/>
        <v>-16.688582274500732</v>
      </c>
      <c r="M82" s="16">
        <f t="shared" ca="1" si="5"/>
        <v>1.9670250071019251</v>
      </c>
      <c r="N82" s="16">
        <f t="shared" ca="1" si="6"/>
        <v>271.35960007867254</v>
      </c>
      <c r="P82" s="4">
        <f t="shared" ca="1" si="7"/>
        <v>-0.1010211939752791</v>
      </c>
    </row>
    <row r="83" spans="1:16" x14ac:dyDescent="0.2">
      <c r="A83" s="4">
        <v>61</v>
      </c>
      <c r="B83" s="4">
        <f t="shared" si="3"/>
        <v>700</v>
      </c>
      <c r="C83" s="16">
        <f t="shared" ca="1" si="8"/>
        <v>1365.2292759200859</v>
      </c>
      <c r="D83" s="16">
        <f t="shared" ca="1" si="10"/>
        <v>1439.0666989065726</v>
      </c>
      <c r="E83" s="16"/>
      <c r="I83" s="4">
        <f t="shared" si="9"/>
        <v>1410</v>
      </c>
      <c r="J83" s="16"/>
      <c r="K83" s="16">
        <f t="shared" ca="1" si="4"/>
        <v>-73.837422986486672</v>
      </c>
      <c r="M83" s="16">
        <f t="shared" ca="1" si="5"/>
        <v>2.4000363771273889</v>
      </c>
      <c r="N83" s="16">
        <f t="shared" ca="1" si="6"/>
        <v>381.27299972730304</v>
      </c>
      <c r="P83" s="4">
        <f t="shared" ca="1" si="7"/>
        <v>-0.44696095255195994</v>
      </c>
    </row>
    <row r="84" spans="1:16" x14ac:dyDescent="0.2">
      <c r="H84" s="16"/>
    </row>
  </sheetData>
  <hyperlinks>
    <hyperlink ref="A1:D1" r:id="rId1" display="Файл скачан с сайта excel2.ru &gt;&gt;&gt;"/>
    <hyperlink ref="A2" r:id="rId2"/>
    <hyperlink ref="Y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Normal="100" workbookViewId="0">
      <selection activeCell="V2" sqref="V2"/>
    </sheetView>
  </sheetViews>
  <sheetFormatPr defaultRowHeight="12.75" x14ac:dyDescent="0.2"/>
  <cols>
    <col min="1" max="1" width="4.7109375" style="4" customWidth="1"/>
    <col min="2" max="2" width="15.85546875" style="4" customWidth="1"/>
    <col min="3" max="3" width="12.42578125" style="4" customWidth="1"/>
    <col min="4" max="4" width="12.85546875" style="4" customWidth="1"/>
    <col min="5" max="5" width="3" style="4" customWidth="1"/>
    <col min="6" max="6" width="7.42578125" style="4" customWidth="1"/>
    <col min="7" max="7" width="11.28515625" style="4" customWidth="1"/>
    <col min="8" max="8" width="2.5703125" style="4" customWidth="1"/>
    <col min="9" max="9" width="19" style="4" customWidth="1"/>
    <col min="10" max="10" width="17.140625" style="4" bestFit="1" customWidth="1"/>
    <col min="11" max="11" width="23.28515625" style="4" bestFit="1" customWidth="1"/>
    <col min="12" max="12" width="25" style="4" bestFit="1" customWidth="1"/>
    <col min="13" max="13" width="12" style="4" bestFit="1" customWidth="1"/>
    <col min="14" max="14" width="13" style="4" customWidth="1"/>
    <col min="15" max="15" width="13.140625" style="4" bestFit="1" customWidth="1"/>
    <col min="16" max="16" width="14.7109375" style="4" bestFit="1" customWidth="1"/>
    <col min="17" max="17" width="14.85546875" style="4" bestFit="1" customWidth="1"/>
    <col min="18" max="20" width="9.140625" style="4"/>
    <col min="21" max="21" width="2.5703125" style="4" customWidth="1"/>
    <col min="22" max="22" width="17.7109375" style="4" customWidth="1"/>
    <col min="23" max="23" width="16.7109375" style="4" customWidth="1"/>
    <col min="24" max="24" width="13" style="4" customWidth="1"/>
    <col min="25" max="25" width="14" style="4" customWidth="1"/>
    <col min="26" max="26" width="12" style="4" bestFit="1" customWidth="1"/>
    <col min="27" max="27" width="13.140625" style="4" customWidth="1"/>
    <col min="28" max="28" width="15.7109375" style="4" customWidth="1"/>
    <col min="29" max="34" width="9.140625" style="4"/>
    <col min="35" max="35" width="4.5703125" style="4" customWidth="1"/>
    <col min="36" max="16384" width="9.140625" style="4"/>
  </cols>
  <sheetData>
    <row r="1" spans="1:38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.75" x14ac:dyDescent="0.25">
      <c r="A2" s="1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10" t="s">
        <v>176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8.75" x14ac:dyDescent="0.2">
      <c r="A3" s="1" t="str">
        <f>Линейный!A3</f>
        <v>Простая линейная регрессия в MS EXCEL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.75" x14ac:dyDescent="0.25">
      <c r="A4" s="12" t="s">
        <v>127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ht="15.75" x14ac:dyDescent="0.25">
      <c r="I5" s="73" t="s">
        <v>128</v>
      </c>
      <c r="J5" s="71"/>
      <c r="K5" s="71"/>
      <c r="L5" s="72"/>
      <c r="M5" s="71"/>
      <c r="N5" s="71"/>
      <c r="O5" s="71"/>
      <c r="P5" s="71"/>
      <c r="Q5" s="71"/>
      <c r="R5" s="71"/>
      <c r="S5" s="71"/>
      <c r="T5" s="71"/>
      <c r="V5" s="75" t="s">
        <v>130</v>
      </c>
      <c r="W5" s="76"/>
      <c r="X5" s="76"/>
      <c r="Y5" s="77"/>
      <c r="Z5" s="76"/>
      <c r="AA5" s="76"/>
      <c r="AB5" s="76"/>
      <c r="AC5" s="76"/>
      <c r="AD5" s="76"/>
      <c r="AE5" s="76"/>
      <c r="AF5" s="76"/>
      <c r="AG5" s="76"/>
    </row>
    <row r="6" spans="1:38" ht="15" x14ac:dyDescent="0.25">
      <c r="I6" t="s">
        <v>95</v>
      </c>
      <c r="J6"/>
      <c r="K6"/>
      <c r="L6"/>
      <c r="M6"/>
      <c r="N6"/>
      <c r="O6"/>
      <c r="P6"/>
      <c r="Q6"/>
      <c r="V6" s="78" t="s">
        <v>95</v>
      </c>
      <c r="W6" s="78"/>
      <c r="X6" s="78"/>
      <c r="Y6" s="78"/>
      <c r="Z6" s="78"/>
      <c r="AA6" s="78"/>
      <c r="AB6" s="78"/>
      <c r="AC6" s="78"/>
      <c r="AD6" s="78"/>
    </row>
    <row r="7" spans="1:38" ht="15.75" thickBot="1" x14ac:dyDescent="0.3">
      <c r="I7"/>
      <c r="J7"/>
      <c r="K7"/>
      <c r="L7"/>
      <c r="M7"/>
      <c r="N7"/>
      <c r="O7"/>
      <c r="P7"/>
      <c r="Q7"/>
      <c r="V7" s="78"/>
      <c r="W7" s="78"/>
      <c r="X7" s="78"/>
      <c r="Y7" s="78"/>
      <c r="Z7" s="78"/>
      <c r="AA7" s="78"/>
      <c r="AB7" s="78"/>
      <c r="AC7" s="78"/>
      <c r="AD7" s="78"/>
    </row>
    <row r="8" spans="1:38" ht="15" x14ac:dyDescent="0.25">
      <c r="I8" s="63" t="s">
        <v>96</v>
      </c>
      <c r="J8" s="63"/>
      <c r="K8"/>
      <c r="L8"/>
      <c r="M8"/>
      <c r="N8"/>
      <c r="O8"/>
      <c r="P8"/>
      <c r="Q8"/>
      <c r="V8" s="79" t="s">
        <v>96</v>
      </c>
      <c r="W8" s="79"/>
      <c r="X8" s="78"/>
      <c r="Y8" s="78"/>
      <c r="Z8" s="78"/>
      <c r="AA8" s="78"/>
      <c r="AB8" s="78"/>
      <c r="AC8" s="78"/>
      <c r="AD8" s="78"/>
    </row>
    <row r="9" spans="1:38" ht="15" x14ac:dyDescent="0.25">
      <c r="I9" s="60" t="s">
        <v>97</v>
      </c>
      <c r="J9" s="65">
        <f>CORREL(C23:C62,B23:B62)</f>
        <v>0.80739957619526981</v>
      </c>
      <c r="K9" s="67"/>
      <c r="L9"/>
      <c r="M9"/>
      <c r="N9"/>
      <c r="O9"/>
      <c r="P9"/>
      <c r="Q9"/>
      <c r="V9" s="80" t="s">
        <v>97</v>
      </c>
      <c r="W9" s="80">
        <v>0.80739957619526981</v>
      </c>
      <c r="X9" s="78"/>
      <c r="Y9" s="78"/>
      <c r="Z9" s="78"/>
      <c r="AA9" s="78"/>
      <c r="AB9" s="78"/>
      <c r="AC9" s="78"/>
      <c r="AD9" s="78"/>
    </row>
    <row r="10" spans="1:38" ht="15" x14ac:dyDescent="0.25">
      <c r="I10" s="60" t="s">
        <v>98</v>
      </c>
      <c r="J10" s="65">
        <f>RSQ(C23:C62,B23:B62)</f>
        <v>0.65189407564030133</v>
      </c>
      <c r="K10" s="67"/>
      <c r="L10"/>
      <c r="M10" s="60"/>
      <c r="N10"/>
      <c r="O10"/>
      <c r="P10"/>
      <c r="Q10"/>
      <c r="V10" s="80" t="s">
        <v>98</v>
      </c>
      <c r="W10" s="80">
        <v>0.65189407564030133</v>
      </c>
      <c r="X10" s="78"/>
      <c r="Y10" s="78"/>
      <c r="Z10" s="78"/>
      <c r="AA10" s="78"/>
      <c r="AB10" s="78"/>
      <c r="AC10" s="78"/>
      <c r="AD10" s="78"/>
    </row>
    <row r="11" spans="1:38" ht="15" x14ac:dyDescent="0.25">
      <c r="I11" s="60" t="s">
        <v>99</v>
      </c>
      <c r="J11" s="65">
        <f>1-((1-J10)*($J$13-1)/($J$13-1-1))</f>
        <v>0.64273339342030922</v>
      </c>
      <c r="K11" s="67"/>
      <c r="L11"/>
      <c r="M11"/>
      <c r="N11"/>
      <c r="O11"/>
      <c r="P11"/>
      <c r="Q11"/>
      <c r="V11" s="80" t="s">
        <v>99</v>
      </c>
      <c r="W11" s="80">
        <v>0.64273339342030922</v>
      </c>
      <c r="X11" s="78"/>
      <c r="Y11" s="78"/>
      <c r="Z11" s="78"/>
      <c r="AA11" s="78"/>
      <c r="AB11" s="78"/>
      <c r="AC11" s="78"/>
      <c r="AD11" s="78"/>
    </row>
    <row r="12" spans="1:38" ht="15" x14ac:dyDescent="0.25">
      <c r="I12" s="60" t="s">
        <v>100</v>
      </c>
      <c r="J12" s="65">
        <f>INDEX(LINEST(C23:C62,B23:B62,TRUE,TRUE),3,2)</f>
        <v>157.03002715789924</v>
      </c>
      <c r="K12" s="60"/>
      <c r="L12"/>
      <c r="M12"/>
      <c r="N12"/>
      <c r="O12"/>
      <c r="P12"/>
      <c r="Q12"/>
      <c r="V12" s="80" t="s">
        <v>100</v>
      </c>
      <c r="W12" s="80">
        <v>157.03002715789924</v>
      </c>
      <c r="X12" s="78"/>
      <c r="Y12" s="78"/>
      <c r="Z12" s="78"/>
      <c r="AA12" s="78"/>
      <c r="AB12" s="78"/>
      <c r="AC12" s="78"/>
      <c r="AD12" s="78"/>
    </row>
    <row r="13" spans="1:38" ht="15.75" thickBot="1" x14ac:dyDescent="0.3">
      <c r="I13" s="61" t="s">
        <v>101</v>
      </c>
      <c r="J13" s="66">
        <f>COUNT($B$23:$B$62)</f>
        <v>40</v>
      </c>
      <c r="K13" s="60"/>
      <c r="L13"/>
      <c r="M13"/>
      <c r="N13"/>
      <c r="O13"/>
      <c r="P13"/>
      <c r="Q13"/>
      <c r="V13" s="81" t="s">
        <v>101</v>
      </c>
      <c r="W13" s="81">
        <v>40</v>
      </c>
      <c r="X13" s="78"/>
      <c r="Y13" s="78"/>
      <c r="Z13" s="78"/>
      <c r="AA13" s="78"/>
      <c r="AB13" s="78"/>
      <c r="AC13" s="78"/>
      <c r="AD13" s="78"/>
    </row>
    <row r="14" spans="1:38" ht="15" x14ac:dyDescent="0.25">
      <c r="I14"/>
      <c r="J14"/>
      <c r="K14" s="60"/>
      <c r="L14"/>
      <c r="M14"/>
      <c r="N14"/>
      <c r="O14"/>
      <c r="P14"/>
      <c r="Q14"/>
      <c r="V14" s="78"/>
      <c r="W14" s="78"/>
      <c r="X14" s="78"/>
      <c r="Y14" s="78"/>
      <c r="Z14" s="78"/>
      <c r="AA14" s="78"/>
      <c r="AB14" s="78"/>
      <c r="AC14" s="78"/>
      <c r="AD14" s="78"/>
    </row>
    <row r="15" spans="1:38" ht="15.75" thickBot="1" x14ac:dyDescent="0.3">
      <c r="C15" s="11"/>
      <c r="I15" t="s">
        <v>102</v>
      </c>
      <c r="J15"/>
      <c r="K15"/>
      <c r="L15"/>
      <c r="M15"/>
      <c r="N15"/>
      <c r="O15"/>
      <c r="P15"/>
      <c r="Q15"/>
      <c r="V15" s="78" t="s">
        <v>102</v>
      </c>
      <c r="W15" s="78"/>
      <c r="X15" s="78"/>
      <c r="Y15" s="78"/>
      <c r="Z15" s="78"/>
      <c r="AA15" s="78"/>
      <c r="AB15" s="78"/>
      <c r="AC15" s="78"/>
      <c r="AD15" s="78"/>
    </row>
    <row r="16" spans="1:38" ht="15" x14ac:dyDescent="0.25">
      <c r="I16" s="62"/>
      <c r="J16" s="62" t="s">
        <v>107</v>
      </c>
      <c r="K16" s="62" t="s">
        <v>108</v>
      </c>
      <c r="L16" s="62" t="s">
        <v>109</v>
      </c>
      <c r="M16" s="62" t="s">
        <v>110</v>
      </c>
      <c r="N16" s="62" t="s">
        <v>111</v>
      </c>
      <c r="O16"/>
      <c r="P16"/>
      <c r="Q16"/>
      <c r="V16" s="79"/>
      <c r="W16" s="79" t="s">
        <v>107</v>
      </c>
      <c r="X16" s="79" t="s">
        <v>108</v>
      </c>
      <c r="Y16" s="79" t="s">
        <v>109</v>
      </c>
      <c r="Z16" s="79" t="s">
        <v>110</v>
      </c>
      <c r="AA16" s="79" t="s">
        <v>111</v>
      </c>
      <c r="AB16" s="78"/>
      <c r="AC16" s="78"/>
      <c r="AD16" s="78"/>
    </row>
    <row r="17" spans="1:30" ht="15" x14ac:dyDescent="0.25">
      <c r="I17" s="60" t="s">
        <v>103</v>
      </c>
      <c r="J17" s="60">
        <v>1</v>
      </c>
      <c r="K17" s="69">
        <f>_xlfn.VAR.S(D23:D62)*(J13-1)</f>
        <v>1754747.4820615314</v>
      </c>
      <c r="L17" s="69">
        <f>K17/J17</f>
        <v>1754747.4820615314</v>
      </c>
      <c r="M17" s="65">
        <f>L17/L18</f>
        <v>71.162175478331292</v>
      </c>
      <c r="N17" s="65">
        <f>_xlfn.F.DIST.RT(M17,1,J13-2)</f>
        <v>3.0831485456676494E-10</v>
      </c>
      <c r="O17"/>
      <c r="P17"/>
      <c r="Q17"/>
      <c r="V17" s="80" t="s">
        <v>103</v>
      </c>
      <c r="W17" s="80">
        <v>1</v>
      </c>
      <c r="X17" s="80">
        <v>1754747.4820615212</v>
      </c>
      <c r="Y17" s="80">
        <v>1754747.4820615212</v>
      </c>
      <c r="Z17" s="80">
        <v>71.16217547833088</v>
      </c>
      <c r="AA17" s="80">
        <v>3.0831485456678707E-10</v>
      </c>
      <c r="AB17" s="78"/>
      <c r="AC17" s="78"/>
      <c r="AD17" s="78"/>
    </row>
    <row r="18" spans="1:30" ht="15" x14ac:dyDescent="0.25">
      <c r="I18" s="60" t="s">
        <v>104</v>
      </c>
      <c r="J18" s="65">
        <f>J13-2</f>
        <v>38</v>
      </c>
      <c r="K18" s="69">
        <f>SUMXMY2(C23:C62,D23:D62)</f>
        <v>937020.31831000175</v>
      </c>
      <c r="L18" s="69">
        <f>K18/J18</f>
        <v>24658.429429210573</v>
      </c>
      <c r="M18" s="60"/>
      <c r="N18" s="60"/>
      <c r="O18"/>
      <c r="P18"/>
      <c r="Q18"/>
      <c r="V18" s="80" t="s">
        <v>104</v>
      </c>
      <c r="W18" s="80">
        <v>38</v>
      </c>
      <c r="X18" s="80">
        <v>937020.31831000175</v>
      </c>
      <c r="Y18" s="80">
        <v>24658.429429210573</v>
      </c>
      <c r="Z18" s="80"/>
      <c r="AA18" s="80"/>
      <c r="AB18" s="78"/>
      <c r="AC18" s="78"/>
      <c r="AD18" s="78"/>
    </row>
    <row r="19" spans="1:30" ht="15.75" thickBot="1" x14ac:dyDescent="0.3">
      <c r="I19" s="61" t="s">
        <v>105</v>
      </c>
      <c r="J19" s="66">
        <f>J17+J18</f>
        <v>39</v>
      </c>
      <c r="K19" s="70">
        <f>_xlfn.VAR.S(C23:C62)*(J13-1)</f>
        <v>2691767.8003715202</v>
      </c>
      <c r="L19" s="68"/>
      <c r="M19" s="61"/>
      <c r="N19" s="61"/>
      <c r="O19"/>
      <c r="P19"/>
      <c r="Q19"/>
      <c r="V19" s="81" t="s">
        <v>105</v>
      </c>
      <c r="W19" s="81">
        <v>39</v>
      </c>
      <c r="X19" s="81">
        <v>2691767.800371523</v>
      </c>
      <c r="Y19" s="81"/>
      <c r="Z19" s="81"/>
      <c r="AA19" s="81"/>
      <c r="AB19" s="78"/>
      <c r="AC19" s="78"/>
      <c r="AD19" s="78"/>
    </row>
    <row r="20" spans="1:30" ht="15.75" thickBot="1" x14ac:dyDescent="0.3">
      <c r="I20"/>
      <c r="J20"/>
      <c r="K20"/>
      <c r="L20"/>
      <c r="M20"/>
      <c r="N20"/>
      <c r="O20"/>
      <c r="P20"/>
      <c r="Q20"/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ht="15" x14ac:dyDescent="0.25">
      <c r="F21" s="4" t="s">
        <v>25</v>
      </c>
      <c r="I21" s="62"/>
      <c r="J21" s="62" t="s">
        <v>112</v>
      </c>
      <c r="K21" s="62" t="s">
        <v>100</v>
      </c>
      <c r="L21" s="62" t="s">
        <v>113</v>
      </c>
      <c r="M21" s="62" t="s">
        <v>114</v>
      </c>
      <c r="N21" s="62" t="s">
        <v>115</v>
      </c>
      <c r="O21" s="62" t="s">
        <v>116</v>
      </c>
      <c r="P21" s="62" t="s">
        <v>124</v>
      </c>
      <c r="Q21" s="62" t="s">
        <v>125</v>
      </c>
      <c r="V21" s="79"/>
      <c r="W21" s="79" t="s">
        <v>112</v>
      </c>
      <c r="X21" s="79" t="s">
        <v>100</v>
      </c>
      <c r="Y21" s="79" t="s">
        <v>113</v>
      </c>
      <c r="Z21" s="79" t="s">
        <v>114</v>
      </c>
      <c r="AA21" s="79" t="s">
        <v>115</v>
      </c>
      <c r="AB21" s="79" t="s">
        <v>116</v>
      </c>
      <c r="AC21" s="79" t="s">
        <v>124</v>
      </c>
      <c r="AD21" s="79" t="s">
        <v>125</v>
      </c>
    </row>
    <row r="22" spans="1:30" ht="26.25" x14ac:dyDescent="0.25">
      <c r="A22" s="10" t="s">
        <v>66</v>
      </c>
      <c r="B22" s="10" t="s">
        <v>69</v>
      </c>
      <c r="C22" s="10" t="s">
        <v>89</v>
      </c>
      <c r="D22" s="43" t="s">
        <v>85</v>
      </c>
      <c r="F22" s="43" t="s">
        <v>86</v>
      </c>
      <c r="G22" s="43" t="s">
        <v>131</v>
      </c>
      <c r="I22" s="60" t="s">
        <v>106</v>
      </c>
      <c r="J22" s="65">
        <f>INTERCEPT(C23:C62,B23:B62)</f>
        <v>82.046715331438463</v>
      </c>
      <c r="K22" s="65">
        <f>INDEX(LINEST($C$23:$C$62,$B$23:$B$62,,TRUE),2,2)</f>
        <v>68.136181279034545</v>
      </c>
      <c r="L22" s="60" t="s">
        <v>129</v>
      </c>
      <c r="M22" s="65">
        <f>_xlfn.T.DIST.2T(J22/K22,J13-2)</f>
        <v>0.2359757089786215</v>
      </c>
      <c r="N22" s="65">
        <f>$J22-_xlfn.T.INV.2T(1-N$24,$J$13-2)*K22</f>
        <v>-55.887772401087119</v>
      </c>
      <c r="O22" s="65">
        <f>$J22+_xlfn.T.INV.2T(1-O$24,$J$13-2)*K22</f>
        <v>219.98120306396405</v>
      </c>
      <c r="P22" s="65">
        <f>$J22-_xlfn.T.INV.2T(1-P$24,$J$13-2)*K22</f>
        <v>-32.827783394679273</v>
      </c>
      <c r="Q22" s="65">
        <f>$J22+_xlfn.T.INV.2T(1-Q$24,$J$13-2)*K22</f>
        <v>196.9212140575562</v>
      </c>
      <c r="V22" s="80" t="s">
        <v>106</v>
      </c>
      <c r="W22" s="80">
        <v>82.046715331438349</v>
      </c>
      <c r="X22" s="80">
        <v>68.136181279034545</v>
      </c>
      <c r="Y22" s="80">
        <v>1.2041578173487111</v>
      </c>
      <c r="Z22" s="80">
        <v>0.23597570897862225</v>
      </c>
      <c r="AA22" s="80">
        <v>-55.887772401087233</v>
      </c>
      <c r="AB22" s="80">
        <v>219.98120306396393</v>
      </c>
      <c r="AC22" s="80">
        <v>-32.827783394679386</v>
      </c>
      <c r="AD22" s="80">
        <v>196.92121405755609</v>
      </c>
    </row>
    <row r="23" spans="1:30" ht="15.75" thickBot="1" x14ac:dyDescent="0.3">
      <c r="A23" s="4">
        <v>1</v>
      </c>
      <c r="B23" s="4">
        <v>100</v>
      </c>
      <c r="C23" s="16">
        <v>319.0943851214497</v>
      </c>
      <c r="D23" s="16">
        <f>TREND($C$23:$C$62,$B$23:$B$62,B23)</f>
        <v>263.49117403960884</v>
      </c>
      <c r="F23" s="4">
        <v>50</v>
      </c>
      <c r="G23" s="16">
        <f>TREND($C$23:$C$62,$B$23:$B$62,F23)</f>
        <v>172.76894468552359</v>
      </c>
      <c r="I23" s="61" t="s">
        <v>117</v>
      </c>
      <c r="J23" s="66">
        <f>SLOPE(C23:C62,B23:B62)</f>
        <v>1.8144445870817041</v>
      </c>
      <c r="K23" s="66">
        <f>INDEX(LINEST($C$23:$C$62,$B$23:$B$62,,TRUE),2,1)</f>
        <v>0.21508944615769759</v>
      </c>
      <c r="L23" s="66">
        <f>J23/K23</f>
        <v>8.435767628279649</v>
      </c>
      <c r="M23" s="66">
        <f>_xlfn.T.DIST.2T(L23,J13-2)</f>
        <v>3.083148545667882E-10</v>
      </c>
      <c r="N23" s="66">
        <f>$J23-_xlfn.T.INV.2T(1-N$24,$J$13-2)*K23</f>
        <v>1.3790187675610031</v>
      </c>
      <c r="O23" s="66">
        <f>$J23+_xlfn.T.INV.2T(1-O$24,$J$13-2)*K23</f>
        <v>2.2498704066024051</v>
      </c>
      <c r="P23" s="66">
        <f>$J23-_xlfn.T.INV.2T(1-P$24,$J$13-2)*K23</f>
        <v>1.4518135759973403</v>
      </c>
      <c r="Q23" s="66">
        <f>$J23+_xlfn.T.INV.2T(1-Q$24,$J$13-2)*K23</f>
        <v>2.1770755981660681</v>
      </c>
      <c r="V23" s="81" t="s">
        <v>117</v>
      </c>
      <c r="W23" s="81">
        <v>1.8144445870817045</v>
      </c>
      <c r="X23" s="81">
        <v>0.21508944615769759</v>
      </c>
      <c r="Y23" s="81">
        <v>8.4357676282796525</v>
      </c>
      <c r="Z23" s="81">
        <v>3.0831485456678598E-10</v>
      </c>
      <c r="AA23" s="81">
        <v>1.3790187675610035</v>
      </c>
      <c r="AB23" s="81">
        <v>2.2498704066024056</v>
      </c>
      <c r="AC23" s="81">
        <v>1.4518135759973407</v>
      </c>
      <c r="AD23" s="81">
        <v>2.1770755981660685</v>
      </c>
    </row>
    <row r="24" spans="1:30" ht="15" x14ac:dyDescent="0.25">
      <c r="A24" s="4">
        <v>2</v>
      </c>
      <c r="B24" s="4">
        <v>110</v>
      </c>
      <c r="C24" s="16">
        <v>155.89206331051059</v>
      </c>
      <c r="D24" s="16">
        <f t="shared" ref="D24:D62" si="0">TREND($C$23:$C$62,$B$23:$B$62,B24)</f>
        <v>281.63561991042582</v>
      </c>
      <c r="F24" s="4">
        <v>550</v>
      </c>
      <c r="G24" s="16">
        <f>TREND($C$23:$C$62,$B$23:$B$62,F24)</f>
        <v>1079.9912382263758</v>
      </c>
      <c r="I24"/>
      <c r="J24"/>
      <c r="K24"/>
      <c r="L24"/>
      <c r="M24"/>
      <c r="N24" s="74">
        <v>0.95</v>
      </c>
      <c r="O24" s="74">
        <v>0.95</v>
      </c>
      <c r="P24" s="74">
        <v>0.9</v>
      </c>
      <c r="Q24" s="74">
        <v>0.9</v>
      </c>
      <c r="V24"/>
      <c r="W24"/>
      <c r="X24"/>
      <c r="Y24"/>
      <c r="Z24"/>
      <c r="AA24"/>
      <c r="AB24"/>
      <c r="AC24"/>
      <c r="AD24"/>
    </row>
    <row r="25" spans="1:30" ht="15" x14ac:dyDescent="0.25">
      <c r="A25" s="4">
        <v>3</v>
      </c>
      <c r="B25" s="4">
        <v>120</v>
      </c>
      <c r="C25" s="16">
        <v>253.32714298116687</v>
      </c>
      <c r="D25" s="16">
        <f t="shared" si="0"/>
        <v>299.78006578124291</v>
      </c>
      <c r="I25"/>
      <c r="J25"/>
      <c r="K25"/>
      <c r="L25"/>
      <c r="M25"/>
      <c r="N25"/>
      <c r="O25"/>
      <c r="P25"/>
      <c r="Q25"/>
      <c r="V25"/>
      <c r="W25"/>
      <c r="X25"/>
      <c r="Y25"/>
      <c r="Z25"/>
      <c r="AA25"/>
      <c r="AB25"/>
      <c r="AC25"/>
      <c r="AD25"/>
    </row>
    <row r="26" spans="1:30" ht="15" x14ac:dyDescent="0.25">
      <c r="A26" s="4">
        <v>4</v>
      </c>
      <c r="B26" s="4">
        <v>130</v>
      </c>
      <c r="C26" s="16">
        <v>444.68602082793313</v>
      </c>
      <c r="D26" s="16">
        <f t="shared" si="0"/>
        <v>317.92451165205995</v>
      </c>
      <c r="I26"/>
      <c r="J26"/>
      <c r="K26"/>
      <c r="L26"/>
      <c r="M26"/>
      <c r="N26"/>
      <c r="O26"/>
      <c r="P26"/>
      <c r="Q26"/>
      <c r="V26"/>
      <c r="W26"/>
      <c r="X26"/>
      <c r="Y26"/>
      <c r="Z26"/>
      <c r="AA26"/>
      <c r="AB26"/>
      <c r="AC26"/>
      <c r="AD26"/>
    </row>
    <row r="27" spans="1:30" ht="15" x14ac:dyDescent="0.25">
      <c r="A27" s="4">
        <v>5</v>
      </c>
      <c r="B27" s="4">
        <v>140</v>
      </c>
      <c r="C27" s="16">
        <v>297.90603566083746</v>
      </c>
      <c r="D27" s="16">
        <f t="shared" si="0"/>
        <v>336.06895752287699</v>
      </c>
      <c r="I27" t="s">
        <v>118</v>
      </c>
      <c r="J27"/>
      <c r="K27"/>
      <c r="L27"/>
      <c r="M27"/>
      <c r="N27" t="s">
        <v>122</v>
      </c>
      <c r="O27"/>
      <c r="P27"/>
      <c r="Q27"/>
      <c r="V27" t="s">
        <v>118</v>
      </c>
      <c r="W27"/>
      <c r="X27"/>
      <c r="Y27"/>
      <c r="Z27"/>
      <c r="AA27" t="s">
        <v>122</v>
      </c>
      <c r="AB27"/>
      <c r="AC27"/>
      <c r="AD27"/>
    </row>
    <row r="28" spans="1:30" ht="15.75" thickBot="1" x14ac:dyDescent="0.3">
      <c r="A28" s="4">
        <v>6</v>
      </c>
      <c r="B28" s="4">
        <v>150</v>
      </c>
      <c r="C28" s="16">
        <v>608.82421146753154</v>
      </c>
      <c r="D28" s="16">
        <f t="shared" si="0"/>
        <v>354.21340339369402</v>
      </c>
      <c r="I28"/>
      <c r="J28"/>
      <c r="K28"/>
      <c r="L28"/>
      <c r="M28"/>
      <c r="N28"/>
      <c r="O28"/>
      <c r="P28"/>
      <c r="Q28"/>
      <c r="V28"/>
      <c r="W28"/>
      <c r="X28"/>
      <c r="Y28"/>
      <c r="Z28"/>
      <c r="AA28"/>
      <c r="AB28"/>
      <c r="AC28"/>
      <c r="AD28"/>
    </row>
    <row r="29" spans="1:30" ht="15" x14ac:dyDescent="0.25">
      <c r="A29" s="4">
        <v>7</v>
      </c>
      <c r="B29" s="4">
        <v>160</v>
      </c>
      <c r="C29" s="16">
        <v>191.0524304264317</v>
      </c>
      <c r="D29" s="16">
        <f t="shared" si="0"/>
        <v>372.35784926451106</v>
      </c>
      <c r="I29" s="62" t="s">
        <v>119</v>
      </c>
      <c r="J29" s="62" t="s">
        <v>120</v>
      </c>
      <c r="K29" s="62" t="s">
        <v>34</v>
      </c>
      <c r="L29" s="62" t="s">
        <v>121</v>
      </c>
      <c r="M29"/>
      <c r="N29" s="62" t="s">
        <v>123</v>
      </c>
      <c r="O29" s="62" t="s">
        <v>26</v>
      </c>
      <c r="P29"/>
      <c r="Q29"/>
      <c r="V29" s="62" t="s">
        <v>119</v>
      </c>
      <c r="W29" s="62" t="s">
        <v>120</v>
      </c>
      <c r="X29" s="62" t="s">
        <v>34</v>
      </c>
      <c r="Y29" s="79" t="s">
        <v>121</v>
      </c>
      <c r="Z29"/>
      <c r="AA29" s="62" t="s">
        <v>123</v>
      </c>
      <c r="AB29" s="62" t="s">
        <v>26</v>
      </c>
      <c r="AC29"/>
      <c r="AD29"/>
    </row>
    <row r="30" spans="1:30" ht="15" x14ac:dyDescent="0.25">
      <c r="A30" s="4">
        <v>8</v>
      </c>
      <c r="B30" s="4">
        <v>170</v>
      </c>
      <c r="C30" s="16">
        <v>222.09727661106228</v>
      </c>
      <c r="D30" s="16">
        <f t="shared" si="0"/>
        <v>390.5022951353281</v>
      </c>
      <c r="I30" s="60">
        <v>1</v>
      </c>
      <c r="J30" s="65">
        <f t="shared" ref="J30:J69" si="1">TREND($C$23:$C$62,$B$23:$B$62,B23)</f>
        <v>263.49117403960884</v>
      </c>
      <c r="K30" s="65">
        <f t="shared" ref="K30:K69" si="2">C23-J30</f>
        <v>55.603211081840868</v>
      </c>
      <c r="L30" s="65">
        <f>K30/_xlfn.STDEV.S($K$30:$K$69)</f>
        <v>0.35872171910347161</v>
      </c>
      <c r="M30" s="64"/>
      <c r="N30" s="65">
        <f>100/$J$13/2</f>
        <v>1.25</v>
      </c>
      <c r="O30" s="65">
        <f>SMALL($C$23:$C$62,I30)</f>
        <v>151.19281211638909</v>
      </c>
      <c r="P30"/>
      <c r="Q30"/>
      <c r="V30" s="60">
        <v>1</v>
      </c>
      <c r="W30" s="60">
        <v>263.49117403960884</v>
      </c>
      <c r="X30" s="60">
        <v>55.603211081840868</v>
      </c>
      <c r="Y30" s="60">
        <v>0.35872171910347161</v>
      </c>
      <c r="Z30"/>
      <c r="AA30" s="60">
        <v>1.25</v>
      </c>
      <c r="AB30" s="60">
        <v>151.19281211638909</v>
      </c>
      <c r="AC30"/>
      <c r="AD30"/>
    </row>
    <row r="31" spans="1:30" ht="15" x14ac:dyDescent="0.25">
      <c r="A31" s="4">
        <v>9</v>
      </c>
      <c r="B31" s="4">
        <v>180</v>
      </c>
      <c r="C31" s="16">
        <v>151.19281211638909</v>
      </c>
      <c r="D31" s="16">
        <f t="shared" si="0"/>
        <v>408.64674100614519</v>
      </c>
      <c r="I31" s="60">
        <v>2</v>
      </c>
      <c r="J31" s="65">
        <f t="shared" si="1"/>
        <v>281.63561991042582</v>
      </c>
      <c r="K31" s="65">
        <f t="shared" si="2"/>
        <v>-125.74355659991522</v>
      </c>
      <c r="L31" s="65">
        <f>K31/_xlfn.STDEV.S($K$30:$K$69)</f>
        <v>-0.81122913429072607</v>
      </c>
      <c r="M31" s="64"/>
      <c r="N31" s="65">
        <f>100/$J$13+N30</f>
        <v>3.75</v>
      </c>
      <c r="O31" s="65">
        <f t="shared" ref="O31:O69" si="3">SMALL($C$23:$C$62,I31)</f>
        <v>155.89206331051059</v>
      </c>
      <c r="P31"/>
      <c r="Q31"/>
      <c r="V31" s="60">
        <v>2</v>
      </c>
      <c r="W31" s="60">
        <v>281.63561991042582</v>
      </c>
      <c r="X31" s="60">
        <v>-125.74355659991522</v>
      </c>
      <c r="Y31" s="60">
        <v>-0.81122913429072607</v>
      </c>
      <c r="Z31"/>
      <c r="AA31" s="60">
        <v>3.75</v>
      </c>
      <c r="AB31" s="60">
        <v>155.89206331051059</v>
      </c>
      <c r="AC31"/>
      <c r="AD31"/>
    </row>
    <row r="32" spans="1:30" ht="15" x14ac:dyDescent="0.25">
      <c r="A32" s="4">
        <v>10</v>
      </c>
      <c r="B32" s="4">
        <v>190</v>
      </c>
      <c r="C32" s="16">
        <v>531.10116313393007</v>
      </c>
      <c r="D32" s="16">
        <f t="shared" si="0"/>
        <v>426.79118687696223</v>
      </c>
      <c r="I32" s="60">
        <v>3</v>
      </c>
      <c r="J32" s="65">
        <f t="shared" si="1"/>
        <v>299.78006578124291</v>
      </c>
      <c r="K32" s="65">
        <f t="shared" si="2"/>
        <v>-46.452922800076038</v>
      </c>
      <c r="L32" s="65">
        <f>K32/_xlfn.STDEV.S($K$30:$K$69)</f>
        <v>-0.29968902874507225</v>
      </c>
      <c r="M32" s="64"/>
      <c r="N32" s="65">
        <f>100/$J$13+N31</f>
        <v>6.25</v>
      </c>
      <c r="O32" s="65">
        <f t="shared" si="3"/>
        <v>191.0524304264317</v>
      </c>
      <c r="P32"/>
      <c r="Q32"/>
      <c r="V32" s="60">
        <v>3</v>
      </c>
      <c r="W32" s="60">
        <v>299.78006578124291</v>
      </c>
      <c r="X32" s="60">
        <v>-46.452922800076038</v>
      </c>
      <c r="Y32" s="60">
        <v>-0.29968902874507225</v>
      </c>
      <c r="Z32"/>
      <c r="AA32" s="60">
        <v>6.25</v>
      </c>
      <c r="AB32" s="60">
        <v>191.0524304264317</v>
      </c>
      <c r="AC32"/>
      <c r="AD32"/>
    </row>
    <row r="33" spans="1:30" ht="15" x14ac:dyDescent="0.25">
      <c r="A33" s="4">
        <v>11</v>
      </c>
      <c r="B33" s="4">
        <v>200</v>
      </c>
      <c r="C33" s="16">
        <v>486.06180658485232</v>
      </c>
      <c r="D33" s="16">
        <f t="shared" si="0"/>
        <v>444.93563274777927</v>
      </c>
      <c r="I33" s="60">
        <v>4</v>
      </c>
      <c r="J33" s="65">
        <f t="shared" si="1"/>
        <v>317.92451165205995</v>
      </c>
      <c r="K33" s="65">
        <f t="shared" si="2"/>
        <v>126.76150917587319</v>
      </c>
      <c r="L33" s="65">
        <f t="shared" ref="L33:L69" si="4">K33/_xlfn.STDEV.S($K$30:$K$69)</f>
        <v>0.81779641144808257</v>
      </c>
      <c r="M33" s="64"/>
      <c r="N33" s="65">
        <f t="shared" ref="N33:N69" si="5">100/$J$13+N32</f>
        <v>8.75</v>
      </c>
      <c r="O33" s="65">
        <f t="shared" si="3"/>
        <v>222.09727661106228</v>
      </c>
      <c r="P33"/>
      <c r="Q33"/>
      <c r="V33" s="60">
        <v>4</v>
      </c>
      <c r="W33" s="60">
        <v>317.92451165205995</v>
      </c>
      <c r="X33" s="60">
        <v>126.76150917587319</v>
      </c>
      <c r="Y33" s="60">
        <v>0.81779641144808257</v>
      </c>
      <c r="Z33"/>
      <c r="AA33" s="60">
        <v>8.75</v>
      </c>
      <c r="AB33" s="60">
        <v>222.09727661106228</v>
      </c>
      <c r="AC33"/>
      <c r="AD33"/>
    </row>
    <row r="34" spans="1:30" ht="15" x14ac:dyDescent="0.25">
      <c r="A34" s="4">
        <v>12</v>
      </c>
      <c r="B34" s="4">
        <v>210</v>
      </c>
      <c r="C34" s="16">
        <v>567.38948215056416</v>
      </c>
      <c r="D34" s="16">
        <f t="shared" si="0"/>
        <v>463.0800786185963</v>
      </c>
      <c r="I34" s="60">
        <v>5</v>
      </c>
      <c r="J34" s="65">
        <f t="shared" si="1"/>
        <v>336.06895752287699</v>
      </c>
      <c r="K34" s="65">
        <f t="shared" si="2"/>
        <v>-38.162921862039525</v>
      </c>
      <c r="L34" s="65">
        <f t="shared" si="4"/>
        <v>-0.24620644509563538</v>
      </c>
      <c r="M34" s="64"/>
      <c r="N34" s="65">
        <f t="shared" si="5"/>
        <v>11.25</v>
      </c>
      <c r="O34" s="65">
        <f t="shared" si="3"/>
        <v>253.32714298116687</v>
      </c>
      <c r="P34"/>
      <c r="Q34"/>
      <c r="V34" s="60">
        <v>5</v>
      </c>
      <c r="W34" s="60">
        <v>336.06895752287699</v>
      </c>
      <c r="X34" s="60">
        <v>-38.162921862039525</v>
      </c>
      <c r="Y34" s="60">
        <v>-0.24620644509563538</v>
      </c>
      <c r="Z34"/>
      <c r="AA34" s="60">
        <v>11.25</v>
      </c>
      <c r="AB34" s="60">
        <v>253.32714298116687</v>
      </c>
      <c r="AC34"/>
      <c r="AD34"/>
    </row>
    <row r="35" spans="1:30" ht="15" x14ac:dyDescent="0.25">
      <c r="A35" s="4">
        <v>13</v>
      </c>
      <c r="B35" s="4">
        <v>220</v>
      </c>
      <c r="C35" s="16">
        <v>535.35584433730037</v>
      </c>
      <c r="D35" s="16">
        <f t="shared" si="0"/>
        <v>481.22452448941334</v>
      </c>
      <c r="I35" s="60">
        <v>6</v>
      </c>
      <c r="J35" s="65">
        <f t="shared" si="1"/>
        <v>354.21340339369402</v>
      </c>
      <c r="K35" s="65">
        <f t="shared" si="2"/>
        <v>254.61080807383752</v>
      </c>
      <c r="L35" s="65">
        <f t="shared" si="4"/>
        <v>1.6426106513909491</v>
      </c>
      <c r="M35" s="64"/>
      <c r="N35" s="65">
        <f t="shared" si="5"/>
        <v>13.75</v>
      </c>
      <c r="O35" s="65">
        <f t="shared" si="3"/>
        <v>297.90603566083746</v>
      </c>
      <c r="P35"/>
      <c r="Q35"/>
      <c r="V35" s="60">
        <v>6</v>
      </c>
      <c r="W35" s="60">
        <v>354.21340339369402</v>
      </c>
      <c r="X35" s="60">
        <v>254.61080807383752</v>
      </c>
      <c r="Y35" s="60">
        <v>1.6426106513909491</v>
      </c>
      <c r="Z35"/>
      <c r="AA35" s="60">
        <v>13.75</v>
      </c>
      <c r="AB35" s="60">
        <v>297.90603566083746</v>
      </c>
      <c r="AC35"/>
      <c r="AD35"/>
    </row>
    <row r="36" spans="1:30" ht="15" x14ac:dyDescent="0.25">
      <c r="A36" s="4">
        <v>14</v>
      </c>
      <c r="B36" s="4">
        <v>230</v>
      </c>
      <c r="C36" s="16">
        <v>455.18551639458065</v>
      </c>
      <c r="D36" s="16">
        <f t="shared" si="0"/>
        <v>499.36897036023038</v>
      </c>
      <c r="I36" s="60">
        <v>7</v>
      </c>
      <c r="J36" s="65">
        <f t="shared" si="1"/>
        <v>372.35784926451106</v>
      </c>
      <c r="K36" s="65">
        <f t="shared" si="2"/>
        <v>-181.30541883807936</v>
      </c>
      <c r="L36" s="65">
        <f t="shared" si="4"/>
        <v>-1.1696840931118675</v>
      </c>
      <c r="M36" s="64"/>
      <c r="N36" s="65">
        <f t="shared" si="5"/>
        <v>16.25</v>
      </c>
      <c r="O36" s="65">
        <f t="shared" si="3"/>
        <v>319.0943851214497</v>
      </c>
      <c r="P36"/>
      <c r="Q36"/>
      <c r="V36" s="60">
        <v>7</v>
      </c>
      <c r="W36" s="60">
        <v>372.35784926451106</v>
      </c>
      <c r="X36" s="60">
        <v>-181.30541883807936</v>
      </c>
      <c r="Y36" s="60">
        <v>-1.1696840931118675</v>
      </c>
      <c r="Z36"/>
      <c r="AA36" s="60">
        <v>16.25</v>
      </c>
      <c r="AB36" s="60">
        <v>319.0943851214497</v>
      </c>
      <c r="AC36"/>
      <c r="AD36"/>
    </row>
    <row r="37" spans="1:30" ht="15" x14ac:dyDescent="0.25">
      <c r="A37" s="4">
        <v>15</v>
      </c>
      <c r="B37" s="4">
        <v>240</v>
      </c>
      <c r="C37" s="16">
        <v>577.52176868579716</v>
      </c>
      <c r="D37" s="16">
        <f t="shared" si="0"/>
        <v>517.51341623104736</v>
      </c>
      <c r="I37" s="60">
        <v>8</v>
      </c>
      <c r="J37" s="65">
        <f t="shared" si="1"/>
        <v>390.5022951353281</v>
      </c>
      <c r="K37" s="65">
        <f t="shared" si="2"/>
        <v>-168.40501852426581</v>
      </c>
      <c r="L37" s="65">
        <f t="shared" si="4"/>
        <v>-1.086457716655248</v>
      </c>
      <c r="M37" s="64"/>
      <c r="N37" s="65">
        <f t="shared" si="5"/>
        <v>18.75</v>
      </c>
      <c r="O37" s="65">
        <f t="shared" si="3"/>
        <v>331.84364937488886</v>
      </c>
      <c r="P37"/>
      <c r="Q37"/>
      <c r="V37" s="60">
        <v>8</v>
      </c>
      <c r="W37" s="60">
        <v>390.5022951353281</v>
      </c>
      <c r="X37" s="60">
        <v>-168.40501852426581</v>
      </c>
      <c r="Y37" s="60">
        <v>-1.086457716655248</v>
      </c>
      <c r="Z37"/>
      <c r="AA37" s="60">
        <v>18.75</v>
      </c>
      <c r="AB37" s="60">
        <v>331.84364937488886</v>
      </c>
      <c r="AC37"/>
      <c r="AD37"/>
    </row>
    <row r="38" spans="1:30" ht="15" x14ac:dyDescent="0.25">
      <c r="A38" s="4">
        <v>16</v>
      </c>
      <c r="B38" s="4">
        <v>250</v>
      </c>
      <c r="C38" s="16">
        <v>331.84364937488886</v>
      </c>
      <c r="D38" s="16">
        <f t="shared" si="0"/>
        <v>535.65786210186457</v>
      </c>
      <c r="I38" s="60">
        <v>9</v>
      </c>
      <c r="J38" s="65">
        <f t="shared" si="1"/>
        <v>408.64674100614519</v>
      </c>
      <c r="K38" s="65">
        <f t="shared" si="2"/>
        <v>-257.45392888975607</v>
      </c>
      <c r="L38" s="65">
        <f t="shared" si="4"/>
        <v>-1.6609529227609248</v>
      </c>
      <c r="M38" s="64"/>
      <c r="N38" s="65">
        <f t="shared" si="5"/>
        <v>21.25</v>
      </c>
      <c r="O38" s="65">
        <f t="shared" si="3"/>
        <v>400.3918192594009</v>
      </c>
      <c r="P38"/>
      <c r="Q38"/>
      <c r="V38" s="60">
        <v>9</v>
      </c>
      <c r="W38" s="60">
        <v>408.64674100614519</v>
      </c>
      <c r="X38" s="60">
        <v>-257.45392888975607</v>
      </c>
      <c r="Y38" s="60">
        <v>-1.6609529227609248</v>
      </c>
      <c r="Z38"/>
      <c r="AA38" s="60">
        <v>21.25</v>
      </c>
      <c r="AB38" s="60">
        <v>400.3918192594009</v>
      </c>
      <c r="AC38"/>
      <c r="AD38"/>
    </row>
    <row r="39" spans="1:30" ht="15" x14ac:dyDescent="0.25">
      <c r="A39" s="4">
        <v>17</v>
      </c>
      <c r="B39" s="4">
        <v>260</v>
      </c>
      <c r="C39" s="16">
        <v>698.77657008716778</v>
      </c>
      <c r="D39" s="16">
        <f t="shared" si="0"/>
        <v>553.80230797268155</v>
      </c>
      <c r="I39" s="60">
        <v>10</v>
      </c>
      <c r="J39" s="65">
        <f t="shared" si="1"/>
        <v>426.79118687696223</v>
      </c>
      <c r="K39" s="65">
        <f t="shared" si="2"/>
        <v>104.30997625696784</v>
      </c>
      <c r="L39" s="65">
        <f t="shared" si="4"/>
        <v>0.67295131476250347</v>
      </c>
      <c r="M39" s="64"/>
      <c r="N39" s="65">
        <f t="shared" si="5"/>
        <v>23.75</v>
      </c>
      <c r="O39" s="65">
        <f t="shared" si="3"/>
        <v>444.68602082793313</v>
      </c>
      <c r="P39"/>
      <c r="Q39"/>
      <c r="V39" s="60">
        <v>10</v>
      </c>
      <c r="W39" s="60">
        <v>426.79118687696223</v>
      </c>
      <c r="X39" s="60">
        <v>104.30997625696784</v>
      </c>
      <c r="Y39" s="60">
        <v>0.67295131476250347</v>
      </c>
      <c r="Z39"/>
      <c r="AA39" s="60">
        <v>23.75</v>
      </c>
      <c r="AB39" s="60">
        <v>444.68602082793313</v>
      </c>
      <c r="AC39"/>
      <c r="AD39"/>
    </row>
    <row r="40" spans="1:30" ht="15" x14ac:dyDescent="0.25">
      <c r="A40" s="4">
        <v>18</v>
      </c>
      <c r="B40" s="4">
        <v>270</v>
      </c>
      <c r="C40" s="16">
        <v>565.35319289399354</v>
      </c>
      <c r="D40" s="16">
        <f t="shared" si="0"/>
        <v>571.94675384349853</v>
      </c>
      <c r="I40" s="60">
        <v>11</v>
      </c>
      <c r="J40" s="65">
        <f t="shared" si="1"/>
        <v>444.93563274777927</v>
      </c>
      <c r="K40" s="65">
        <f t="shared" si="2"/>
        <v>41.126173837073054</v>
      </c>
      <c r="L40" s="65">
        <f t="shared" si="4"/>
        <v>0.265323737459492</v>
      </c>
      <c r="M40" s="64"/>
      <c r="N40" s="65">
        <f t="shared" si="5"/>
        <v>26.25</v>
      </c>
      <c r="O40" s="65">
        <f t="shared" si="3"/>
        <v>455.18551639458065</v>
      </c>
      <c r="P40"/>
      <c r="Q40"/>
      <c r="V40" s="60">
        <v>11</v>
      </c>
      <c r="W40" s="60">
        <v>444.93563274777927</v>
      </c>
      <c r="X40" s="60">
        <v>41.126173837073054</v>
      </c>
      <c r="Y40" s="60">
        <v>0.265323737459492</v>
      </c>
      <c r="Z40"/>
      <c r="AA40" s="60">
        <v>26.25</v>
      </c>
      <c r="AB40" s="60">
        <v>455.18551639458065</v>
      </c>
      <c r="AC40"/>
      <c r="AD40"/>
    </row>
    <row r="41" spans="1:30" ht="15" x14ac:dyDescent="0.25">
      <c r="A41" s="4">
        <v>19</v>
      </c>
      <c r="B41" s="4">
        <v>280</v>
      </c>
      <c r="C41" s="16">
        <v>624.05670724114884</v>
      </c>
      <c r="D41" s="16">
        <f t="shared" si="0"/>
        <v>590.09119971431562</v>
      </c>
      <c r="I41" s="60">
        <v>12</v>
      </c>
      <c r="J41" s="65">
        <f t="shared" si="1"/>
        <v>463.0800786185963</v>
      </c>
      <c r="K41" s="65">
        <f t="shared" si="2"/>
        <v>104.30940353196786</v>
      </c>
      <c r="L41" s="65">
        <f t="shared" si="4"/>
        <v>0.67294761985185758</v>
      </c>
      <c r="M41" s="64"/>
      <c r="N41" s="65">
        <f t="shared" si="5"/>
        <v>28.75</v>
      </c>
      <c r="O41" s="65">
        <f t="shared" si="3"/>
        <v>469.27421100790076</v>
      </c>
      <c r="P41"/>
      <c r="Q41"/>
      <c r="V41" s="60">
        <v>12</v>
      </c>
      <c r="W41" s="60">
        <v>463.0800786185963</v>
      </c>
      <c r="X41" s="60">
        <v>104.30940353196786</v>
      </c>
      <c r="Y41" s="60">
        <v>0.67294761985185758</v>
      </c>
      <c r="Z41"/>
      <c r="AA41" s="60">
        <v>28.75</v>
      </c>
      <c r="AB41" s="60">
        <v>469.27421100790076</v>
      </c>
      <c r="AC41"/>
      <c r="AD41"/>
    </row>
    <row r="42" spans="1:30" ht="15" x14ac:dyDescent="0.25">
      <c r="A42" s="4">
        <v>20</v>
      </c>
      <c r="B42" s="4">
        <v>290</v>
      </c>
      <c r="C42" s="16">
        <v>847.32186753355973</v>
      </c>
      <c r="D42" s="16">
        <f t="shared" si="0"/>
        <v>608.23564558513272</v>
      </c>
      <c r="I42" s="60">
        <v>13</v>
      </c>
      <c r="J42" s="65">
        <f t="shared" si="1"/>
        <v>481.22452448941334</v>
      </c>
      <c r="K42" s="65">
        <f t="shared" si="2"/>
        <v>54.131319847887028</v>
      </c>
      <c r="L42" s="65">
        <f t="shared" si="4"/>
        <v>0.34922587626446538</v>
      </c>
      <c r="M42" s="64"/>
      <c r="N42" s="65">
        <f t="shared" si="5"/>
        <v>31.25</v>
      </c>
      <c r="O42" s="65">
        <f t="shared" si="3"/>
        <v>486.06180658485232</v>
      </c>
      <c r="P42"/>
      <c r="Q42"/>
      <c r="V42" s="60">
        <v>13</v>
      </c>
      <c r="W42" s="60">
        <v>481.22452448941334</v>
      </c>
      <c r="X42" s="60">
        <v>54.131319847887028</v>
      </c>
      <c r="Y42" s="60">
        <v>0.34922587626446538</v>
      </c>
      <c r="Z42"/>
      <c r="AA42" s="60">
        <v>31.25</v>
      </c>
      <c r="AB42" s="60">
        <v>486.06180658485232</v>
      </c>
      <c r="AC42"/>
      <c r="AD42"/>
    </row>
    <row r="43" spans="1:30" ht="15" x14ac:dyDescent="0.25">
      <c r="A43" s="4">
        <v>21</v>
      </c>
      <c r="B43" s="4">
        <v>300</v>
      </c>
      <c r="C43" s="16">
        <v>469.27421100790076</v>
      </c>
      <c r="D43" s="16">
        <f t="shared" si="0"/>
        <v>626.3800914559497</v>
      </c>
      <c r="I43" s="60">
        <v>14</v>
      </c>
      <c r="J43" s="65">
        <f t="shared" si="1"/>
        <v>499.36897036023038</v>
      </c>
      <c r="K43" s="65">
        <f t="shared" si="2"/>
        <v>-44.183453965649733</v>
      </c>
      <c r="L43" s="65">
        <f t="shared" si="4"/>
        <v>-0.28504764840214758</v>
      </c>
      <c r="M43" s="64"/>
      <c r="N43" s="65">
        <f t="shared" si="5"/>
        <v>33.75</v>
      </c>
      <c r="O43" s="65">
        <f t="shared" si="3"/>
        <v>531.10116313393007</v>
      </c>
      <c r="P43"/>
      <c r="Q43"/>
      <c r="V43" s="60">
        <v>14</v>
      </c>
      <c r="W43" s="60">
        <v>499.36897036023038</v>
      </c>
      <c r="X43" s="60">
        <v>-44.183453965649733</v>
      </c>
      <c r="Y43" s="60">
        <v>-0.28504764840214758</v>
      </c>
      <c r="Z43"/>
      <c r="AA43" s="60">
        <v>33.75</v>
      </c>
      <c r="AB43" s="60">
        <v>531.10116313393007</v>
      </c>
      <c r="AC43"/>
      <c r="AD43"/>
    </row>
    <row r="44" spans="1:30" ht="15" x14ac:dyDescent="0.25">
      <c r="A44" s="4">
        <v>22</v>
      </c>
      <c r="B44" s="4">
        <v>310</v>
      </c>
      <c r="C44" s="16">
        <v>816.13041109276537</v>
      </c>
      <c r="D44" s="16">
        <f t="shared" si="0"/>
        <v>644.52453732676679</v>
      </c>
      <c r="I44" s="60">
        <v>15</v>
      </c>
      <c r="J44" s="65">
        <f t="shared" si="1"/>
        <v>517.51341623104736</v>
      </c>
      <c r="K44" s="65">
        <f t="shared" si="2"/>
        <v>60.008352454749797</v>
      </c>
      <c r="L44" s="65">
        <f t="shared" si="4"/>
        <v>0.38714129875432729</v>
      </c>
      <c r="M44" s="64"/>
      <c r="N44" s="65">
        <f t="shared" si="5"/>
        <v>36.25</v>
      </c>
      <c r="O44" s="65">
        <f t="shared" si="3"/>
        <v>535.35584433730037</v>
      </c>
      <c r="P44"/>
      <c r="Q44"/>
      <c r="V44" s="60">
        <v>15</v>
      </c>
      <c r="W44" s="60">
        <v>517.51341623104736</v>
      </c>
      <c r="X44" s="60">
        <v>60.008352454749797</v>
      </c>
      <c r="Y44" s="60">
        <v>0.38714129875432729</v>
      </c>
      <c r="Z44"/>
      <c r="AA44" s="60">
        <v>36.25</v>
      </c>
      <c r="AB44" s="60">
        <v>535.35584433730037</v>
      </c>
      <c r="AC44"/>
      <c r="AD44"/>
    </row>
    <row r="45" spans="1:30" ht="15" x14ac:dyDescent="0.25">
      <c r="A45" s="4">
        <v>23</v>
      </c>
      <c r="B45" s="4">
        <v>320</v>
      </c>
      <c r="C45" s="16">
        <v>400.3918192594009</v>
      </c>
      <c r="D45" s="16">
        <f t="shared" si="0"/>
        <v>662.66898319758377</v>
      </c>
      <c r="I45" s="60">
        <v>16</v>
      </c>
      <c r="J45" s="65">
        <f t="shared" si="1"/>
        <v>535.65786210186457</v>
      </c>
      <c r="K45" s="65">
        <f t="shared" si="2"/>
        <v>-203.81421272697571</v>
      </c>
      <c r="L45" s="65">
        <f t="shared" si="4"/>
        <v>-1.3148986064766826</v>
      </c>
      <c r="M45" s="64"/>
      <c r="N45" s="65">
        <f t="shared" si="5"/>
        <v>38.75</v>
      </c>
      <c r="O45" s="65">
        <f t="shared" si="3"/>
        <v>539.57563867345539</v>
      </c>
      <c r="P45"/>
      <c r="Q45"/>
      <c r="V45" s="60">
        <v>16</v>
      </c>
      <c r="W45" s="60">
        <v>535.65786210186457</v>
      </c>
      <c r="X45" s="60">
        <v>-203.81421272697571</v>
      </c>
      <c r="Y45" s="60">
        <v>-1.3148986064766826</v>
      </c>
      <c r="Z45"/>
      <c r="AA45" s="60">
        <v>38.75</v>
      </c>
      <c r="AB45" s="60">
        <v>539.57563867345539</v>
      </c>
      <c r="AC45"/>
      <c r="AD45"/>
    </row>
    <row r="46" spans="1:30" ht="15" x14ac:dyDescent="0.25">
      <c r="A46" s="4">
        <v>24</v>
      </c>
      <c r="B46" s="4">
        <v>330</v>
      </c>
      <c r="C46" s="16">
        <v>584.95054422829685</v>
      </c>
      <c r="D46" s="16">
        <f t="shared" si="0"/>
        <v>680.81342906840086</v>
      </c>
      <c r="I46" s="60">
        <v>17</v>
      </c>
      <c r="J46" s="65">
        <f t="shared" si="1"/>
        <v>553.80230797268155</v>
      </c>
      <c r="K46" s="65">
        <f t="shared" si="2"/>
        <v>144.97426211448624</v>
      </c>
      <c r="L46" s="65">
        <f t="shared" si="4"/>
        <v>0.93529520183502401</v>
      </c>
      <c r="M46" s="64"/>
      <c r="N46" s="65">
        <f t="shared" si="5"/>
        <v>41.25</v>
      </c>
      <c r="O46" s="65">
        <f t="shared" si="3"/>
        <v>565.35319289399354</v>
      </c>
      <c r="P46"/>
      <c r="Q46"/>
      <c r="V46" s="60">
        <v>17</v>
      </c>
      <c r="W46" s="60">
        <v>553.80230797268155</v>
      </c>
      <c r="X46" s="60">
        <v>144.97426211448624</v>
      </c>
      <c r="Y46" s="60">
        <v>0.93529520183502401</v>
      </c>
      <c r="Z46"/>
      <c r="AA46" s="60">
        <v>41.25</v>
      </c>
      <c r="AB46" s="60">
        <v>565.35319289399354</v>
      </c>
      <c r="AC46"/>
      <c r="AD46"/>
    </row>
    <row r="47" spans="1:30" ht="15" x14ac:dyDescent="0.25">
      <c r="A47" s="4">
        <v>25</v>
      </c>
      <c r="B47" s="4">
        <v>340</v>
      </c>
      <c r="C47" s="16">
        <v>924.39058738124254</v>
      </c>
      <c r="D47" s="16">
        <f t="shared" si="0"/>
        <v>698.95787493921785</v>
      </c>
      <c r="I47" s="60">
        <v>18</v>
      </c>
      <c r="J47" s="65">
        <f t="shared" si="1"/>
        <v>571.94675384349853</v>
      </c>
      <c r="K47" s="65">
        <f t="shared" si="2"/>
        <v>-6.5935609495049903</v>
      </c>
      <c r="L47" s="65">
        <f t="shared" si="4"/>
        <v>-4.253807420112115E-2</v>
      </c>
      <c r="M47" s="64"/>
      <c r="N47" s="65">
        <f t="shared" si="5"/>
        <v>43.75</v>
      </c>
      <c r="O47" s="65">
        <f t="shared" si="3"/>
        <v>567.38948215056416</v>
      </c>
      <c r="P47"/>
      <c r="Q47"/>
      <c r="V47" s="60">
        <v>18</v>
      </c>
      <c r="W47" s="60">
        <v>571.94675384349853</v>
      </c>
      <c r="X47" s="60">
        <v>-6.5935609495049903</v>
      </c>
      <c r="Y47" s="60">
        <v>-4.253807420112115E-2</v>
      </c>
      <c r="Z47"/>
      <c r="AA47" s="60">
        <v>43.75</v>
      </c>
      <c r="AB47" s="60">
        <v>567.38948215056416</v>
      </c>
      <c r="AC47"/>
      <c r="AD47"/>
    </row>
    <row r="48" spans="1:30" ht="15" x14ac:dyDescent="0.25">
      <c r="A48" s="4">
        <v>26</v>
      </c>
      <c r="B48" s="4">
        <v>350</v>
      </c>
      <c r="C48" s="16">
        <v>643.70959060668395</v>
      </c>
      <c r="D48" s="16">
        <f t="shared" si="0"/>
        <v>717.10232081003494</v>
      </c>
      <c r="I48" s="60">
        <v>19</v>
      </c>
      <c r="J48" s="65">
        <f t="shared" si="1"/>
        <v>590.09119971431562</v>
      </c>
      <c r="K48" s="65">
        <f t="shared" si="2"/>
        <v>33.965507526833221</v>
      </c>
      <c r="L48" s="65">
        <f t="shared" si="4"/>
        <v>0.21912700747289529</v>
      </c>
      <c r="M48" s="64"/>
      <c r="N48" s="65">
        <f t="shared" si="5"/>
        <v>46.25</v>
      </c>
      <c r="O48" s="65">
        <f t="shared" si="3"/>
        <v>577.52176868579716</v>
      </c>
      <c r="P48"/>
      <c r="Q48"/>
      <c r="V48" s="60">
        <v>19</v>
      </c>
      <c r="W48" s="60">
        <v>590.09119971431562</v>
      </c>
      <c r="X48" s="60">
        <v>33.965507526833221</v>
      </c>
      <c r="Y48" s="60">
        <v>0.21912700747289529</v>
      </c>
      <c r="Z48"/>
      <c r="AA48" s="60">
        <v>46.25</v>
      </c>
      <c r="AB48" s="60">
        <v>577.52176868579716</v>
      </c>
      <c r="AC48"/>
      <c r="AD48"/>
    </row>
    <row r="49" spans="1:30" ht="15" x14ac:dyDescent="0.25">
      <c r="A49" s="4">
        <v>27</v>
      </c>
      <c r="B49" s="4">
        <v>360</v>
      </c>
      <c r="C49" s="16">
        <v>873.52042132881661</v>
      </c>
      <c r="D49" s="16">
        <f t="shared" si="0"/>
        <v>735.24676668085203</v>
      </c>
      <c r="I49" s="60">
        <v>20</v>
      </c>
      <c r="J49" s="65">
        <f t="shared" si="1"/>
        <v>608.23564558513272</v>
      </c>
      <c r="K49" s="65">
        <f t="shared" si="2"/>
        <v>239.08622194842701</v>
      </c>
      <c r="L49" s="65">
        <f t="shared" si="4"/>
        <v>1.5424544533059088</v>
      </c>
      <c r="M49" s="64"/>
      <c r="N49" s="65">
        <f t="shared" si="5"/>
        <v>48.75</v>
      </c>
      <c r="O49" s="65">
        <f t="shared" si="3"/>
        <v>584.95054422829685</v>
      </c>
      <c r="P49"/>
      <c r="Q49"/>
      <c r="V49" s="60">
        <v>20</v>
      </c>
      <c r="W49" s="60">
        <v>608.23564558513272</v>
      </c>
      <c r="X49" s="60">
        <v>239.08622194842701</v>
      </c>
      <c r="Y49" s="60">
        <v>1.5424544533059088</v>
      </c>
      <c r="Z49"/>
      <c r="AA49" s="60">
        <v>48.75</v>
      </c>
      <c r="AB49" s="60">
        <v>584.95054422829685</v>
      </c>
      <c r="AC49"/>
      <c r="AD49"/>
    </row>
    <row r="50" spans="1:30" ht="15" x14ac:dyDescent="0.25">
      <c r="A50" s="4">
        <v>28</v>
      </c>
      <c r="B50" s="4">
        <v>370</v>
      </c>
      <c r="C50" s="16">
        <v>539.57563867345539</v>
      </c>
      <c r="D50" s="16">
        <f t="shared" si="0"/>
        <v>753.39121255166901</v>
      </c>
      <c r="I50" s="60">
        <v>21</v>
      </c>
      <c r="J50" s="65">
        <f t="shared" si="1"/>
        <v>626.3800914559497</v>
      </c>
      <c r="K50" s="65">
        <f t="shared" si="2"/>
        <v>-157.10588044804894</v>
      </c>
      <c r="L50" s="65">
        <f t="shared" si="4"/>
        <v>-1.0135618144901348</v>
      </c>
      <c r="M50" s="64"/>
      <c r="N50" s="65">
        <f t="shared" si="5"/>
        <v>51.25</v>
      </c>
      <c r="O50" s="65">
        <f t="shared" si="3"/>
        <v>608.82421146753154</v>
      </c>
      <c r="P50"/>
      <c r="Q50"/>
      <c r="V50" s="60">
        <v>21</v>
      </c>
      <c r="W50" s="60">
        <v>626.3800914559497</v>
      </c>
      <c r="X50" s="60">
        <v>-157.10588044804894</v>
      </c>
      <c r="Y50" s="60">
        <v>-1.0135618144901348</v>
      </c>
      <c r="Z50"/>
      <c r="AA50" s="60">
        <v>51.25</v>
      </c>
      <c r="AB50" s="60">
        <v>608.82421146753154</v>
      </c>
      <c r="AC50"/>
      <c r="AD50"/>
    </row>
    <row r="51" spans="1:30" ht="15" x14ac:dyDescent="0.25">
      <c r="A51" s="4">
        <v>29</v>
      </c>
      <c r="B51" s="4">
        <v>380</v>
      </c>
      <c r="C51" s="16">
        <v>728.13601390098813</v>
      </c>
      <c r="D51" s="16">
        <f t="shared" si="0"/>
        <v>771.53565842248611</v>
      </c>
      <c r="I51" s="60">
        <v>22</v>
      </c>
      <c r="J51" s="65">
        <f t="shared" si="1"/>
        <v>644.52453732676679</v>
      </c>
      <c r="K51" s="65">
        <f t="shared" si="2"/>
        <v>171.60587376599858</v>
      </c>
      <c r="L51" s="65">
        <f t="shared" si="4"/>
        <v>1.1071078962505543</v>
      </c>
      <c r="M51" s="64"/>
      <c r="N51" s="65">
        <f t="shared" si="5"/>
        <v>53.75</v>
      </c>
      <c r="O51" s="65">
        <f t="shared" si="3"/>
        <v>624.05670724114884</v>
      </c>
      <c r="P51"/>
      <c r="Q51"/>
      <c r="V51" s="60">
        <v>22</v>
      </c>
      <c r="W51" s="60">
        <v>644.52453732676679</v>
      </c>
      <c r="X51" s="60">
        <v>171.60587376599858</v>
      </c>
      <c r="Y51" s="60">
        <v>1.1071078962505543</v>
      </c>
      <c r="Z51"/>
      <c r="AA51" s="60">
        <v>53.75</v>
      </c>
      <c r="AB51" s="60">
        <v>624.05670724114884</v>
      </c>
      <c r="AC51"/>
      <c r="AD51"/>
    </row>
    <row r="52" spans="1:30" ht="15" x14ac:dyDescent="0.25">
      <c r="A52" s="4">
        <v>30</v>
      </c>
      <c r="B52" s="4">
        <v>390</v>
      </c>
      <c r="C52" s="16">
        <v>932.8035214315347</v>
      </c>
      <c r="D52" s="16">
        <f t="shared" si="0"/>
        <v>789.68010429330309</v>
      </c>
      <c r="I52" s="60">
        <v>23</v>
      </c>
      <c r="J52" s="65">
        <f t="shared" si="1"/>
        <v>662.66898319758377</v>
      </c>
      <c r="K52" s="65">
        <f t="shared" si="2"/>
        <v>-262.27716393818287</v>
      </c>
      <c r="L52" s="65">
        <f t="shared" si="4"/>
        <v>-1.6920698157343386</v>
      </c>
      <c r="M52" s="64"/>
      <c r="N52" s="65">
        <f t="shared" si="5"/>
        <v>56.25</v>
      </c>
      <c r="O52" s="65">
        <f t="shared" si="3"/>
        <v>643.70959060668395</v>
      </c>
      <c r="P52"/>
      <c r="Q52"/>
      <c r="V52" s="60">
        <v>23</v>
      </c>
      <c r="W52" s="60">
        <v>662.66898319758377</v>
      </c>
      <c r="X52" s="60">
        <v>-262.27716393818287</v>
      </c>
      <c r="Y52" s="60">
        <v>-1.6920698157343386</v>
      </c>
      <c r="Z52"/>
      <c r="AA52" s="60">
        <v>56.25</v>
      </c>
      <c r="AB52" s="60">
        <v>643.70959060668395</v>
      </c>
      <c r="AC52"/>
      <c r="AD52"/>
    </row>
    <row r="53" spans="1:30" ht="15" x14ac:dyDescent="0.25">
      <c r="A53" s="4">
        <v>31</v>
      </c>
      <c r="B53" s="4">
        <v>400</v>
      </c>
      <c r="C53" s="16">
        <v>765.6984255751745</v>
      </c>
      <c r="D53" s="16">
        <f t="shared" si="0"/>
        <v>807.82455016412018</v>
      </c>
      <c r="I53" s="60">
        <v>24</v>
      </c>
      <c r="J53" s="65">
        <f t="shared" si="1"/>
        <v>680.81342906840086</v>
      </c>
      <c r="K53" s="65">
        <f t="shared" si="2"/>
        <v>-95.862884840104016</v>
      </c>
      <c r="L53" s="65">
        <f t="shared" si="4"/>
        <v>-0.6184552686614686</v>
      </c>
      <c r="M53" s="64"/>
      <c r="N53" s="65">
        <f t="shared" si="5"/>
        <v>58.75</v>
      </c>
      <c r="O53" s="65">
        <f t="shared" si="3"/>
        <v>655.61135296740497</v>
      </c>
      <c r="P53"/>
      <c r="Q53"/>
      <c r="V53" s="60">
        <v>24</v>
      </c>
      <c r="W53" s="60">
        <v>680.81342906840086</v>
      </c>
      <c r="X53" s="60">
        <v>-95.862884840104016</v>
      </c>
      <c r="Y53" s="60">
        <v>-0.6184552686614686</v>
      </c>
      <c r="Z53"/>
      <c r="AA53" s="60">
        <v>58.75</v>
      </c>
      <c r="AB53" s="60">
        <v>655.61135296740497</v>
      </c>
      <c r="AC53"/>
      <c r="AD53"/>
    </row>
    <row r="54" spans="1:30" ht="15" x14ac:dyDescent="0.25">
      <c r="A54" s="4">
        <v>32</v>
      </c>
      <c r="B54" s="4">
        <v>410</v>
      </c>
      <c r="C54" s="16">
        <v>1035.5718657403031</v>
      </c>
      <c r="D54" s="16">
        <f t="shared" si="0"/>
        <v>825.96899603493716</v>
      </c>
      <c r="I54" s="60">
        <v>25</v>
      </c>
      <c r="J54" s="65">
        <f t="shared" si="1"/>
        <v>698.95787493921785</v>
      </c>
      <c r="K54" s="65">
        <f t="shared" si="2"/>
        <v>225.43271244202469</v>
      </c>
      <c r="L54" s="65">
        <f t="shared" si="4"/>
        <v>1.4543694253616903</v>
      </c>
      <c r="M54" s="64"/>
      <c r="N54" s="65">
        <f t="shared" si="5"/>
        <v>61.25</v>
      </c>
      <c r="O54" s="65">
        <f t="shared" si="3"/>
        <v>698.77657008716778</v>
      </c>
      <c r="P54"/>
      <c r="Q54"/>
      <c r="V54" s="60">
        <v>25</v>
      </c>
      <c r="W54" s="60">
        <v>698.95787493921785</v>
      </c>
      <c r="X54" s="60">
        <v>225.43271244202469</v>
      </c>
      <c r="Y54" s="60">
        <v>1.4543694253616903</v>
      </c>
      <c r="Z54"/>
      <c r="AA54" s="60">
        <v>61.25</v>
      </c>
      <c r="AB54" s="60">
        <v>698.77657008716778</v>
      </c>
      <c r="AC54"/>
      <c r="AD54"/>
    </row>
    <row r="55" spans="1:30" ht="15" x14ac:dyDescent="0.25">
      <c r="A55" s="4">
        <v>33</v>
      </c>
      <c r="B55" s="4">
        <v>420</v>
      </c>
      <c r="C55" s="16">
        <v>978.44176856960439</v>
      </c>
      <c r="D55" s="16">
        <f t="shared" si="0"/>
        <v>844.11344190575426</v>
      </c>
      <c r="I55" s="60">
        <v>26</v>
      </c>
      <c r="J55" s="65">
        <f t="shared" si="1"/>
        <v>717.10232081003494</v>
      </c>
      <c r="K55" s="65">
        <f t="shared" si="2"/>
        <v>-73.392730203350993</v>
      </c>
      <c r="L55" s="65">
        <f t="shared" si="4"/>
        <v>-0.47349003476602308</v>
      </c>
      <c r="M55" s="64"/>
      <c r="N55" s="65">
        <f t="shared" si="5"/>
        <v>63.75</v>
      </c>
      <c r="O55" s="65">
        <f t="shared" si="3"/>
        <v>728.13601390098813</v>
      </c>
      <c r="P55"/>
      <c r="Q55"/>
      <c r="V55" s="60">
        <v>26</v>
      </c>
      <c r="W55" s="60">
        <v>717.10232081003494</v>
      </c>
      <c r="X55" s="60">
        <v>-73.392730203350993</v>
      </c>
      <c r="Y55" s="60">
        <v>-0.47349003476602308</v>
      </c>
      <c r="Z55"/>
      <c r="AA55" s="60">
        <v>63.75</v>
      </c>
      <c r="AB55" s="60">
        <v>728.13601390098813</v>
      </c>
      <c r="AC55"/>
      <c r="AD55"/>
    </row>
    <row r="56" spans="1:30" ht="15" x14ac:dyDescent="0.25">
      <c r="A56" s="4">
        <v>34</v>
      </c>
      <c r="B56" s="4">
        <v>430</v>
      </c>
      <c r="C56" s="16">
        <v>985.75553215684192</v>
      </c>
      <c r="D56" s="16">
        <f t="shared" si="0"/>
        <v>862.25788777657135</v>
      </c>
      <c r="I56" s="60">
        <v>27</v>
      </c>
      <c r="J56" s="65">
        <f t="shared" si="1"/>
        <v>735.24676668085203</v>
      </c>
      <c r="K56" s="65">
        <f t="shared" si="2"/>
        <v>138.27365464796458</v>
      </c>
      <c r="L56" s="65">
        <f t="shared" si="4"/>
        <v>0.89206652164440814</v>
      </c>
      <c r="M56" s="64"/>
      <c r="N56" s="65">
        <f t="shared" si="5"/>
        <v>66.25</v>
      </c>
      <c r="O56" s="65">
        <f t="shared" si="3"/>
        <v>765.6984255751745</v>
      </c>
      <c r="P56"/>
      <c r="Q56"/>
      <c r="V56" s="60">
        <v>27</v>
      </c>
      <c r="W56" s="60">
        <v>735.24676668085203</v>
      </c>
      <c r="X56" s="60">
        <v>138.27365464796458</v>
      </c>
      <c r="Y56" s="60">
        <v>0.89206652164440814</v>
      </c>
      <c r="Z56"/>
      <c r="AA56" s="60">
        <v>66.25</v>
      </c>
      <c r="AB56" s="60">
        <v>765.6984255751745</v>
      </c>
      <c r="AC56"/>
      <c r="AD56"/>
    </row>
    <row r="57" spans="1:30" ht="15" x14ac:dyDescent="0.25">
      <c r="A57" s="4">
        <v>35</v>
      </c>
      <c r="B57" s="4">
        <v>440</v>
      </c>
      <c r="C57" s="16">
        <v>774.25399748757491</v>
      </c>
      <c r="D57" s="16">
        <f t="shared" si="0"/>
        <v>880.40233364738833</v>
      </c>
      <c r="E57" s="16"/>
      <c r="I57" s="60">
        <v>28</v>
      </c>
      <c r="J57" s="65">
        <f t="shared" si="1"/>
        <v>753.39121255166901</v>
      </c>
      <c r="K57" s="65">
        <f t="shared" si="2"/>
        <v>-213.81557387821363</v>
      </c>
      <c r="L57" s="65">
        <f t="shared" si="4"/>
        <v>-1.3794219567606454</v>
      </c>
      <c r="M57" s="64"/>
      <c r="N57" s="65">
        <f t="shared" si="5"/>
        <v>68.75</v>
      </c>
      <c r="O57" s="65">
        <f t="shared" si="3"/>
        <v>774.25399748757491</v>
      </c>
      <c r="P57"/>
      <c r="Q57"/>
      <c r="V57" s="60">
        <v>28</v>
      </c>
      <c r="W57" s="60">
        <v>753.39121255166901</v>
      </c>
      <c r="X57" s="60">
        <v>-213.81557387821363</v>
      </c>
      <c r="Y57" s="60">
        <v>-1.3794219567606454</v>
      </c>
      <c r="Z57"/>
      <c r="AA57" s="60">
        <v>68.75</v>
      </c>
      <c r="AB57" s="60">
        <v>774.25399748757491</v>
      </c>
      <c r="AC57"/>
      <c r="AD57"/>
    </row>
    <row r="58" spans="1:30" ht="15" x14ac:dyDescent="0.25">
      <c r="A58" s="4">
        <v>36</v>
      </c>
      <c r="B58" s="4">
        <v>450</v>
      </c>
      <c r="C58" s="16">
        <v>833.18678350513517</v>
      </c>
      <c r="D58" s="16">
        <f t="shared" si="0"/>
        <v>898.54677951820543</v>
      </c>
      <c r="E58" s="16"/>
      <c r="I58" s="60">
        <v>29</v>
      </c>
      <c r="J58" s="65">
        <f t="shared" si="1"/>
        <v>771.53565842248611</v>
      </c>
      <c r="K58" s="65">
        <f t="shared" si="2"/>
        <v>-43.399644521497976</v>
      </c>
      <c r="L58" s="65">
        <f t="shared" si="4"/>
        <v>-0.2799909355651532</v>
      </c>
      <c r="M58" s="64"/>
      <c r="N58" s="65">
        <f t="shared" si="5"/>
        <v>71.25</v>
      </c>
      <c r="O58" s="65">
        <f t="shared" si="3"/>
        <v>812.26904824128019</v>
      </c>
      <c r="P58"/>
      <c r="Q58"/>
      <c r="V58" s="60">
        <v>29</v>
      </c>
      <c r="W58" s="60">
        <v>771.53565842248611</v>
      </c>
      <c r="X58" s="60">
        <v>-43.399644521497976</v>
      </c>
      <c r="Y58" s="60">
        <v>-0.2799909355651532</v>
      </c>
      <c r="Z58"/>
      <c r="AA58" s="60">
        <v>71.25</v>
      </c>
      <c r="AB58" s="60">
        <v>812.26904824128019</v>
      </c>
      <c r="AC58"/>
      <c r="AD58"/>
    </row>
    <row r="59" spans="1:30" ht="15" x14ac:dyDescent="0.25">
      <c r="A59" s="4">
        <v>37</v>
      </c>
      <c r="B59" s="4">
        <v>460</v>
      </c>
      <c r="C59" s="16">
        <v>878.84449396970763</v>
      </c>
      <c r="D59" s="16">
        <f t="shared" si="0"/>
        <v>916.69122538902241</v>
      </c>
      <c r="E59" s="16"/>
      <c r="I59" s="60">
        <v>30</v>
      </c>
      <c r="J59" s="65">
        <f t="shared" si="1"/>
        <v>789.68010429330309</v>
      </c>
      <c r="K59" s="65">
        <f t="shared" si="2"/>
        <v>143.12341713823162</v>
      </c>
      <c r="L59" s="65">
        <f t="shared" si="4"/>
        <v>0.92335455526519106</v>
      </c>
      <c r="M59" s="64"/>
      <c r="N59" s="65">
        <f t="shared" si="5"/>
        <v>73.75</v>
      </c>
      <c r="O59" s="65">
        <f t="shared" si="3"/>
        <v>816.13041109276537</v>
      </c>
      <c r="P59"/>
      <c r="Q59"/>
      <c r="V59" s="60">
        <v>30</v>
      </c>
      <c r="W59" s="60">
        <v>789.68010429330309</v>
      </c>
      <c r="X59" s="60">
        <v>143.12341713823162</v>
      </c>
      <c r="Y59" s="60">
        <v>0.92335455526519106</v>
      </c>
      <c r="Z59"/>
      <c r="AA59" s="60">
        <v>73.75</v>
      </c>
      <c r="AB59" s="60">
        <v>816.13041109276537</v>
      </c>
      <c r="AC59"/>
      <c r="AD59"/>
    </row>
    <row r="60" spans="1:30" ht="15" x14ac:dyDescent="0.25">
      <c r="A60" s="4">
        <v>38</v>
      </c>
      <c r="B60" s="4">
        <v>470</v>
      </c>
      <c r="C60" s="16">
        <v>1195.7587667564444</v>
      </c>
      <c r="D60" s="16">
        <f t="shared" si="0"/>
        <v>934.8356712598395</v>
      </c>
      <c r="E60" s="16"/>
      <c r="I60" s="60">
        <v>31</v>
      </c>
      <c r="J60" s="65">
        <f t="shared" si="1"/>
        <v>807.82455016412018</v>
      </c>
      <c r="K60" s="65">
        <f t="shared" si="2"/>
        <v>-42.126124588945686</v>
      </c>
      <c r="L60" s="65">
        <f t="shared" si="4"/>
        <v>-0.27177487662486494</v>
      </c>
      <c r="M60" s="64"/>
      <c r="N60" s="65">
        <f t="shared" si="5"/>
        <v>76.25</v>
      </c>
      <c r="O60" s="65">
        <f t="shared" si="3"/>
        <v>833.18678350513517</v>
      </c>
      <c r="P60"/>
      <c r="Q60"/>
      <c r="V60" s="60">
        <v>31</v>
      </c>
      <c r="W60" s="60">
        <v>807.82455016412018</v>
      </c>
      <c r="X60" s="60">
        <v>-42.126124588945686</v>
      </c>
      <c r="Y60" s="60">
        <v>-0.27177487662486494</v>
      </c>
      <c r="Z60"/>
      <c r="AA60" s="60">
        <v>76.25</v>
      </c>
      <c r="AB60" s="60">
        <v>833.18678350513517</v>
      </c>
      <c r="AC60"/>
      <c r="AD60"/>
    </row>
    <row r="61" spans="1:30" ht="15" x14ac:dyDescent="0.25">
      <c r="A61" s="4">
        <v>39</v>
      </c>
      <c r="B61" s="4">
        <v>480</v>
      </c>
      <c r="C61" s="16">
        <v>655.61135296740497</v>
      </c>
      <c r="D61" s="16">
        <f t="shared" si="0"/>
        <v>952.98011713065648</v>
      </c>
      <c r="E61" s="16"/>
      <c r="I61" s="60">
        <v>32</v>
      </c>
      <c r="J61" s="65">
        <f t="shared" si="1"/>
        <v>825.96899603493716</v>
      </c>
      <c r="K61" s="65">
        <f t="shared" si="2"/>
        <v>209.60286970536595</v>
      </c>
      <c r="L61" s="65">
        <f t="shared" si="4"/>
        <v>1.3522438774095444</v>
      </c>
      <c r="M61" s="64"/>
      <c r="N61" s="65">
        <f t="shared" si="5"/>
        <v>78.75</v>
      </c>
      <c r="O61" s="65">
        <f t="shared" si="3"/>
        <v>847.32186753355973</v>
      </c>
      <c r="P61"/>
      <c r="Q61"/>
      <c r="V61" s="60">
        <v>32</v>
      </c>
      <c r="W61" s="60">
        <v>825.96899603493716</v>
      </c>
      <c r="X61" s="60">
        <v>209.60286970536595</v>
      </c>
      <c r="Y61" s="60">
        <v>1.3522438774095444</v>
      </c>
      <c r="Z61"/>
      <c r="AA61" s="60">
        <v>78.75</v>
      </c>
      <c r="AB61" s="60">
        <v>847.32186753355973</v>
      </c>
      <c r="AC61"/>
      <c r="AD61"/>
    </row>
    <row r="62" spans="1:30" ht="15" x14ac:dyDescent="0.25">
      <c r="A62" s="4">
        <v>40</v>
      </c>
      <c r="B62" s="4">
        <v>490</v>
      </c>
      <c r="C62" s="16">
        <v>812.26904824128019</v>
      </c>
      <c r="D62" s="16">
        <f t="shared" si="0"/>
        <v>971.12456300147358</v>
      </c>
      <c r="E62" s="16"/>
      <c r="I62" s="60">
        <v>33</v>
      </c>
      <c r="J62" s="65">
        <f t="shared" si="1"/>
        <v>844.11344190575426</v>
      </c>
      <c r="K62" s="65">
        <f t="shared" si="2"/>
        <v>134.32832666385013</v>
      </c>
      <c r="L62" s="65">
        <f t="shared" si="4"/>
        <v>0.8666134082476753</v>
      </c>
      <c r="M62" s="64"/>
      <c r="N62" s="65">
        <f t="shared" si="5"/>
        <v>81.25</v>
      </c>
      <c r="O62" s="65">
        <f t="shared" si="3"/>
        <v>873.52042132881661</v>
      </c>
      <c r="P62"/>
      <c r="Q62"/>
      <c r="V62" s="60">
        <v>33</v>
      </c>
      <c r="W62" s="60">
        <v>844.11344190575426</v>
      </c>
      <c r="X62" s="60">
        <v>134.32832666385013</v>
      </c>
      <c r="Y62" s="60">
        <v>0.8666134082476753</v>
      </c>
      <c r="Z62"/>
      <c r="AA62" s="60">
        <v>81.25</v>
      </c>
      <c r="AB62" s="60">
        <v>873.52042132881661</v>
      </c>
      <c r="AC62"/>
      <c r="AD62"/>
    </row>
    <row r="63" spans="1:30" ht="15" x14ac:dyDescent="0.25">
      <c r="H63" s="16"/>
      <c r="I63" s="60">
        <v>34</v>
      </c>
      <c r="J63" s="65">
        <f t="shared" si="1"/>
        <v>862.25788777657135</v>
      </c>
      <c r="K63" s="65">
        <f t="shared" si="2"/>
        <v>123.49764438027057</v>
      </c>
      <c r="L63" s="65">
        <f t="shared" si="4"/>
        <v>0.79673972843248175</v>
      </c>
      <c r="M63" s="64"/>
      <c r="N63" s="65">
        <f t="shared" si="5"/>
        <v>83.75</v>
      </c>
      <c r="O63" s="65">
        <f t="shared" si="3"/>
        <v>878.84449396970763</v>
      </c>
      <c r="P63"/>
      <c r="Q63"/>
      <c r="V63" s="60">
        <v>34</v>
      </c>
      <c r="W63" s="60">
        <v>862.25788777657135</v>
      </c>
      <c r="X63" s="60">
        <v>123.49764438027057</v>
      </c>
      <c r="Y63" s="60">
        <v>0.79673972843248175</v>
      </c>
      <c r="Z63"/>
      <c r="AA63" s="60">
        <v>83.75</v>
      </c>
      <c r="AB63" s="60">
        <v>878.84449396970763</v>
      </c>
      <c r="AC63"/>
      <c r="AD63"/>
    </row>
    <row r="64" spans="1:30" ht="15" x14ac:dyDescent="0.25">
      <c r="I64" s="60">
        <v>35</v>
      </c>
      <c r="J64" s="65">
        <f t="shared" si="1"/>
        <v>880.40233364738833</v>
      </c>
      <c r="K64" s="65">
        <f t="shared" si="2"/>
        <v>-106.14833615981343</v>
      </c>
      <c r="L64" s="65">
        <f t="shared" si="4"/>
        <v>-0.68481141441950022</v>
      </c>
      <c r="M64" s="64"/>
      <c r="N64" s="65">
        <f t="shared" si="5"/>
        <v>86.25</v>
      </c>
      <c r="O64" s="65">
        <f t="shared" si="3"/>
        <v>924.39058738124254</v>
      </c>
      <c r="P64"/>
      <c r="Q64"/>
      <c r="V64" s="60">
        <v>35</v>
      </c>
      <c r="W64" s="60">
        <v>880.40233364738833</v>
      </c>
      <c r="X64" s="60">
        <v>-106.14833615981343</v>
      </c>
      <c r="Y64" s="60">
        <v>-0.68481141441950022</v>
      </c>
      <c r="Z64"/>
      <c r="AA64" s="60">
        <v>86.25</v>
      </c>
      <c r="AB64" s="60">
        <v>924.39058738124254</v>
      </c>
      <c r="AC64"/>
      <c r="AD64"/>
    </row>
    <row r="65" spans="9:30" ht="15" x14ac:dyDescent="0.25">
      <c r="I65" s="60">
        <v>36</v>
      </c>
      <c r="J65" s="65">
        <f t="shared" si="1"/>
        <v>898.54677951820543</v>
      </c>
      <c r="K65" s="65">
        <f t="shared" si="2"/>
        <v>-65.359996013070258</v>
      </c>
      <c r="L65" s="65">
        <f t="shared" si="4"/>
        <v>-0.42166719644833112</v>
      </c>
      <c r="M65" s="64"/>
      <c r="N65" s="65">
        <f t="shared" si="5"/>
        <v>88.75</v>
      </c>
      <c r="O65" s="65">
        <f t="shared" si="3"/>
        <v>932.8035214315347</v>
      </c>
      <c r="P65"/>
      <c r="Q65"/>
      <c r="V65" s="60">
        <v>36</v>
      </c>
      <c r="W65" s="60">
        <v>898.54677951820543</v>
      </c>
      <c r="X65" s="60">
        <v>-65.359996013070258</v>
      </c>
      <c r="Y65" s="60">
        <v>-0.42166719644833112</v>
      </c>
      <c r="Z65"/>
      <c r="AA65" s="60">
        <v>88.75</v>
      </c>
      <c r="AB65" s="60">
        <v>932.8035214315347</v>
      </c>
      <c r="AC65"/>
      <c r="AD65"/>
    </row>
    <row r="66" spans="9:30" ht="15" x14ac:dyDescent="0.25">
      <c r="I66" s="60">
        <v>37</v>
      </c>
      <c r="J66" s="65">
        <f t="shared" si="1"/>
        <v>916.69122538902241</v>
      </c>
      <c r="K66" s="65">
        <f t="shared" si="2"/>
        <v>-37.846731419314779</v>
      </c>
      <c r="L66" s="65">
        <f t="shared" si="4"/>
        <v>-0.24416655608614343</v>
      </c>
      <c r="M66" s="64"/>
      <c r="N66" s="65">
        <f t="shared" si="5"/>
        <v>91.25</v>
      </c>
      <c r="O66" s="65">
        <f t="shared" si="3"/>
        <v>978.44176856960439</v>
      </c>
      <c r="P66"/>
      <c r="Q66"/>
      <c r="V66" s="60">
        <v>37</v>
      </c>
      <c r="W66" s="60">
        <v>916.69122538902241</v>
      </c>
      <c r="X66" s="60">
        <v>-37.846731419314779</v>
      </c>
      <c r="Y66" s="60">
        <v>-0.24416655608614343</v>
      </c>
      <c r="Z66"/>
      <c r="AA66" s="60">
        <v>91.25</v>
      </c>
      <c r="AB66" s="60">
        <v>978.44176856960439</v>
      </c>
      <c r="AC66"/>
      <c r="AD66"/>
    </row>
    <row r="67" spans="9:30" ht="15" x14ac:dyDescent="0.25">
      <c r="I67" s="60">
        <v>38</v>
      </c>
      <c r="J67" s="65">
        <f t="shared" si="1"/>
        <v>934.8356712598395</v>
      </c>
      <c r="K67" s="65">
        <f t="shared" si="2"/>
        <v>260.9230954966049</v>
      </c>
      <c r="L67" s="65">
        <f t="shared" si="4"/>
        <v>1.6833341015607153</v>
      </c>
      <c r="M67" s="64"/>
      <c r="N67" s="65">
        <f t="shared" si="5"/>
        <v>93.75</v>
      </c>
      <c r="O67" s="65">
        <f t="shared" si="3"/>
        <v>985.75553215684192</v>
      </c>
      <c r="P67"/>
      <c r="Q67"/>
      <c r="V67" s="60">
        <v>38</v>
      </c>
      <c r="W67" s="60">
        <v>934.8356712598395</v>
      </c>
      <c r="X67" s="60">
        <v>260.9230954966049</v>
      </c>
      <c r="Y67" s="60">
        <v>1.6833341015607153</v>
      </c>
      <c r="Z67"/>
      <c r="AA67" s="60">
        <v>93.75</v>
      </c>
      <c r="AB67" s="60">
        <v>985.75553215684192</v>
      </c>
      <c r="AC67"/>
      <c r="AD67"/>
    </row>
    <row r="68" spans="9:30" ht="15" x14ac:dyDescent="0.25">
      <c r="I68" s="60">
        <v>39</v>
      </c>
      <c r="J68" s="65">
        <f t="shared" si="1"/>
        <v>952.98011713065648</v>
      </c>
      <c r="K68" s="65">
        <f t="shared" si="2"/>
        <v>-297.36876416325151</v>
      </c>
      <c r="L68" s="65">
        <f t="shared" si="4"/>
        <v>-1.9184617617012771</v>
      </c>
      <c r="M68" s="64"/>
      <c r="N68" s="65">
        <f t="shared" si="5"/>
        <v>96.25</v>
      </c>
      <c r="O68" s="65">
        <f t="shared" si="3"/>
        <v>1035.5718657403031</v>
      </c>
      <c r="P68"/>
      <c r="Q68"/>
      <c r="V68" s="60">
        <v>39</v>
      </c>
      <c r="W68" s="60">
        <v>952.98011713065648</v>
      </c>
      <c r="X68" s="60">
        <v>-297.36876416325151</v>
      </c>
      <c r="Y68" s="60">
        <v>-1.9184617617012771</v>
      </c>
      <c r="Z68"/>
      <c r="AA68" s="60">
        <v>96.25</v>
      </c>
      <c r="AB68" s="60">
        <v>1035.5718657403031</v>
      </c>
      <c r="AC68"/>
      <c r="AD68"/>
    </row>
    <row r="69" spans="9:30" ht="15.75" thickBot="1" x14ac:dyDescent="0.3">
      <c r="I69" s="61">
        <v>40</v>
      </c>
      <c r="J69" s="66">
        <f t="shared" si="1"/>
        <v>971.12456300147358</v>
      </c>
      <c r="K69" s="66">
        <f t="shared" si="2"/>
        <v>-158.85551476019339</v>
      </c>
      <c r="L69" s="66">
        <f t="shared" si="4"/>
        <v>-1.0248495048239015</v>
      </c>
      <c r="M69" s="64"/>
      <c r="N69" s="66">
        <f t="shared" si="5"/>
        <v>98.75</v>
      </c>
      <c r="O69" s="66">
        <f t="shared" si="3"/>
        <v>1195.7587667564444</v>
      </c>
      <c r="P69"/>
      <c r="Q69"/>
      <c r="V69" s="61">
        <v>40</v>
      </c>
      <c r="W69" s="61">
        <v>971.12456300147358</v>
      </c>
      <c r="X69" s="61">
        <v>-158.85551476019339</v>
      </c>
      <c r="Y69" s="61">
        <v>-1.0248495048239015</v>
      </c>
      <c r="Z69"/>
      <c r="AA69" s="61">
        <v>98.75</v>
      </c>
      <c r="AB69" s="61">
        <v>1195.7587667564444</v>
      </c>
      <c r="AC69"/>
      <c r="AD69"/>
    </row>
    <row r="72" spans="9:30" x14ac:dyDescent="0.2">
      <c r="N72" s="41"/>
    </row>
  </sheetData>
  <sortState ref="AB30:AB69">
    <sortCondition ref="AB30"/>
  </sortState>
  <hyperlinks>
    <hyperlink ref="A1:D1" r:id="rId1" display="Файл скачан с сайта excel2.ru &gt;&gt;&gt;"/>
    <hyperlink ref="A2" r:id="rId2"/>
    <hyperlink ref="V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5" customWidth="1"/>
    <col min="2" max="16384" width="9.140625" style="5" hidden="1"/>
  </cols>
  <sheetData>
    <row r="1" spans="1:7" ht="36.75" customHeight="1" x14ac:dyDescent="0.25">
      <c r="A1" s="109" t="s">
        <v>2</v>
      </c>
      <c r="B1" s="109"/>
      <c r="C1" s="109"/>
      <c r="D1" s="109"/>
      <c r="E1" s="109"/>
      <c r="F1" s="109"/>
      <c r="G1" s="109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Линейный</vt:lpstr>
      <vt:lpstr>Диаграмма рассеяния</vt:lpstr>
      <vt:lpstr>Матричная форма</vt:lpstr>
      <vt:lpstr>Интервалы</vt:lpstr>
      <vt:lpstr>Адекватность</vt:lpstr>
      <vt:lpstr>Надстройка</vt:lpstr>
      <vt:lpstr>EXCEL2.RU</vt:lpstr>
      <vt:lpstr>Xперемен</vt:lpstr>
      <vt:lpstr>Yперемен</vt:lpstr>
    </vt:vector>
  </TitlesOfParts>
  <Company>ОАО "ТВЭЛ"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2025-01-06T18:33:48Z</dcterms:modified>
</cp:coreProperties>
</file>