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"/>
    </mc:Choice>
  </mc:AlternateContent>
  <bookViews>
    <workbookView xWindow="360" yWindow="1140" windowWidth="18795" windowHeight="11235" tabRatio="734"/>
  </bookViews>
  <sheets>
    <sheet name="Коэффициенты" sheetId="9" r:id="rId1"/>
    <sheet name="Диагр расс (матричная)" sheetId="21" r:id="rId2"/>
    <sheet name="Диагр расс (в плоск регрессии)" sheetId="22" r:id="rId3"/>
    <sheet name="Тренд" sheetId="26" r:id="rId4"/>
    <sheet name="Статистика" sheetId="23" r:id="rId5"/>
    <sheet name="Интервалы" sheetId="12" r:id="rId6"/>
    <sheet name="Надстройка" sheetId="17" r:id="rId7"/>
    <sheet name="Матричная форма" sheetId="10" r:id="rId8"/>
    <sheet name="EXCEL2.RU" sheetId="27" r:id="rId9"/>
  </sheets>
  <externalReferences>
    <externalReference r:id="rId10"/>
  </externalReferences>
  <definedNames>
    <definedName name="anscount" hidden="1">2</definedName>
    <definedName name="cz" localSheetId="3">Тренд!$W$24</definedName>
    <definedName name="cz">'Диагр расс (в плоск регрессии)'!$V$18</definedName>
    <definedName name="limcount" hidden="1">2</definedName>
    <definedName name="sencount" hidden="1">4</definedName>
    <definedName name="solver_eng" localSheetId="5" hidden="1">1</definedName>
    <definedName name="solver_eng" localSheetId="0" hidden="1">1</definedName>
    <definedName name="solver_eng" localSheetId="6" hidden="1">1</definedName>
    <definedName name="solver_eng" localSheetId="4" hidden="1">1</definedName>
    <definedName name="solver_neg" localSheetId="5" hidden="1">1</definedName>
    <definedName name="solver_neg" localSheetId="0" hidden="1">1</definedName>
    <definedName name="solver_neg" localSheetId="6" hidden="1">1</definedName>
    <definedName name="solver_neg" localSheetId="4" hidden="1">1</definedName>
    <definedName name="solver_num" localSheetId="5" hidden="1">0</definedName>
    <definedName name="solver_num" localSheetId="0" hidden="1">0</definedName>
    <definedName name="solver_num" localSheetId="6" hidden="1">0</definedName>
    <definedName name="solver_num" localSheetId="4" hidden="1">0</definedName>
    <definedName name="solver_opt" localSheetId="5" hidden="1">Интервалы!#REF!</definedName>
    <definedName name="solver_opt" localSheetId="0" hidden="1">Коэффициенты!#REF!</definedName>
    <definedName name="solver_opt" localSheetId="6" hidden="1">Надстройка!#REF!</definedName>
    <definedName name="solver_opt" localSheetId="4" hidden="1">Статистика!#REF!</definedName>
    <definedName name="solver_typ" localSheetId="5" hidden="1">1</definedName>
    <definedName name="solver_typ" localSheetId="0" hidden="1">1</definedName>
    <definedName name="solver_typ" localSheetId="6" hidden="1">1</definedName>
    <definedName name="solver_typ" localSheetId="4" hidden="1">1</definedName>
    <definedName name="solver_val" localSheetId="5" hidden="1">0</definedName>
    <definedName name="solver_val" localSheetId="0" hidden="1">0</definedName>
    <definedName name="solver_val" localSheetId="6" hidden="1">0</definedName>
    <definedName name="solver_val" localSheetId="4" hidden="1">0</definedName>
    <definedName name="solver_ver" localSheetId="5" hidden="1">3</definedName>
    <definedName name="solver_ver" localSheetId="0" hidden="1">3</definedName>
    <definedName name="solver_ver" localSheetId="6" hidden="1">3</definedName>
    <definedName name="solver_ver" localSheetId="4" hidden="1">3</definedName>
    <definedName name="sz" localSheetId="3">Тренд!$W$25</definedName>
    <definedName name="sz">'Диагр расс (в плоск регрессии)'!$V$19</definedName>
    <definedName name="ux" localSheetId="3">Тренд!$X$20</definedName>
    <definedName name="ux">'Диагр расс (в плоск регрессии)'!$W$14</definedName>
    <definedName name="uy" localSheetId="3">Тренд!$Y$20</definedName>
    <definedName name="uy">'Диагр расс (в плоск регрессии)'!$X$14</definedName>
    <definedName name="uz" localSheetId="3">Тренд!$Z$20</definedName>
    <definedName name="uz">'Диагр расс (в плоск регрессии)'!$Y$14</definedName>
    <definedName name="Xперемен">[1]Интервалы!$B$53:$B$113</definedName>
    <definedName name="Yперемен">[1]Интервалы!$C$53:$C$113</definedName>
  </definedNames>
  <calcPr calcId="162913"/>
</workbook>
</file>

<file path=xl/calcChain.xml><?xml version="1.0" encoding="utf-8"?>
<calcChain xmlns="http://schemas.openxmlformats.org/spreadsheetml/2006/main">
  <c r="H24" i="17" l="1"/>
  <c r="H23" i="17"/>
  <c r="E6" i="17"/>
  <c r="A8" i="17" l="1"/>
  <c r="B8" i="17"/>
  <c r="C8" i="17"/>
  <c r="D8" i="17"/>
  <c r="A9" i="17"/>
  <c r="B9" i="17"/>
  <c r="C9" i="17"/>
  <c r="D9" i="17"/>
  <c r="A10" i="17"/>
  <c r="B10" i="17"/>
  <c r="C10" i="17"/>
  <c r="D10" i="17"/>
  <c r="A11" i="17"/>
  <c r="B11" i="17"/>
  <c r="C11" i="17"/>
  <c r="D11" i="17"/>
  <c r="A12" i="17"/>
  <c r="B12" i="17"/>
  <c r="C12" i="17"/>
  <c r="D12" i="17"/>
  <c r="A13" i="17"/>
  <c r="B13" i="17"/>
  <c r="C13" i="17"/>
  <c r="D13" i="17"/>
  <c r="A14" i="17"/>
  <c r="B14" i="17"/>
  <c r="C14" i="17"/>
  <c r="D14" i="17"/>
  <c r="A15" i="17"/>
  <c r="B15" i="17"/>
  <c r="C15" i="17"/>
  <c r="D15" i="17"/>
  <c r="A16" i="17"/>
  <c r="B16" i="17"/>
  <c r="C16" i="17"/>
  <c r="D16" i="17"/>
  <c r="A17" i="17"/>
  <c r="B17" i="17"/>
  <c r="C17" i="17"/>
  <c r="D17" i="17"/>
  <c r="A18" i="17"/>
  <c r="B18" i="17"/>
  <c r="C18" i="17"/>
  <c r="D18" i="17"/>
  <c r="A19" i="17"/>
  <c r="B19" i="17"/>
  <c r="C19" i="17"/>
  <c r="D19" i="17"/>
  <c r="A20" i="17"/>
  <c r="B20" i="17"/>
  <c r="C20" i="17"/>
  <c r="D20" i="17"/>
  <c r="A21" i="17"/>
  <c r="B21" i="17"/>
  <c r="C21" i="17"/>
  <c r="D21" i="17"/>
  <c r="A22" i="17"/>
  <c r="B22" i="17"/>
  <c r="C22" i="17"/>
  <c r="D22" i="17"/>
  <c r="A23" i="17"/>
  <c r="B23" i="17"/>
  <c r="C23" i="17"/>
  <c r="D23" i="17"/>
  <c r="A24" i="17"/>
  <c r="B24" i="17"/>
  <c r="C24" i="17"/>
  <c r="D24" i="17"/>
  <c r="A25" i="17"/>
  <c r="B25" i="17"/>
  <c r="C25" i="17"/>
  <c r="D25" i="17"/>
  <c r="A26" i="17"/>
  <c r="B26" i="17"/>
  <c r="C26" i="17"/>
  <c r="D26" i="17"/>
  <c r="A27" i="17"/>
  <c r="B27" i="17"/>
  <c r="C27" i="17"/>
  <c r="D27" i="17"/>
  <c r="A28" i="17"/>
  <c r="B28" i="17"/>
  <c r="C28" i="17"/>
  <c r="D28" i="17"/>
  <c r="A29" i="17"/>
  <c r="B29" i="17"/>
  <c r="C29" i="17"/>
  <c r="D29" i="17"/>
  <c r="A30" i="17"/>
  <c r="B30" i="17"/>
  <c r="C30" i="17"/>
  <c r="D30" i="17"/>
  <c r="A31" i="17"/>
  <c r="B31" i="17"/>
  <c r="C31" i="17"/>
  <c r="D31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B36" i="17"/>
  <c r="C36" i="17"/>
  <c r="D36" i="17"/>
  <c r="A37" i="17"/>
  <c r="B37" i="17"/>
  <c r="C37" i="17"/>
  <c r="D37" i="17"/>
  <c r="C7" i="17"/>
  <c r="D7" i="17"/>
  <c r="B7" i="17"/>
  <c r="B6" i="17"/>
  <c r="C6" i="17"/>
  <c r="D6" i="17"/>
  <c r="A6" i="17"/>
  <c r="A7" i="17"/>
  <c r="N32" i="17" l="1"/>
  <c r="N36" i="17"/>
  <c r="N40" i="17"/>
  <c r="N44" i="17"/>
  <c r="N48" i="17"/>
  <c r="N52" i="17"/>
  <c r="N56" i="17"/>
  <c r="N60" i="17"/>
  <c r="N33" i="17"/>
  <c r="N37" i="17"/>
  <c r="N41" i="17"/>
  <c r="N45" i="17"/>
  <c r="N49" i="17"/>
  <c r="N53" i="17"/>
  <c r="N57" i="17"/>
  <c r="N61" i="17"/>
  <c r="N34" i="17"/>
  <c r="N38" i="17"/>
  <c r="N42" i="17"/>
  <c r="N46" i="17"/>
  <c r="N50" i="17"/>
  <c r="N54" i="17"/>
  <c r="N58" i="17"/>
  <c r="N31" i="17"/>
  <c r="N35" i="17"/>
  <c r="N39" i="17"/>
  <c r="N43" i="17"/>
  <c r="N47" i="17"/>
  <c r="N51" i="17"/>
  <c r="N55" i="17"/>
  <c r="N59" i="17"/>
  <c r="I35" i="17"/>
  <c r="J35" i="17" s="1"/>
  <c r="I39" i="17"/>
  <c r="J39" i="17" s="1"/>
  <c r="I43" i="17"/>
  <c r="J43" i="17" s="1"/>
  <c r="I47" i="17"/>
  <c r="J47" i="17" s="1"/>
  <c r="I51" i="17"/>
  <c r="J51" i="17" s="1"/>
  <c r="I55" i="17"/>
  <c r="J55" i="17" s="1"/>
  <c r="I59" i="17"/>
  <c r="J59" i="17" s="1"/>
  <c r="I24" i="17"/>
  <c r="E8" i="17"/>
  <c r="I32" i="17"/>
  <c r="J32" i="17" s="1"/>
  <c r="I36" i="17"/>
  <c r="J36" i="17" s="1"/>
  <c r="I40" i="17"/>
  <c r="J40" i="17" s="1"/>
  <c r="I44" i="17"/>
  <c r="J44" i="17" s="1"/>
  <c r="I48" i="17"/>
  <c r="J48" i="17" s="1"/>
  <c r="I52" i="17"/>
  <c r="J52" i="17" s="1"/>
  <c r="I56" i="17"/>
  <c r="J56" i="17" s="1"/>
  <c r="I60" i="17"/>
  <c r="J60" i="17" s="1"/>
  <c r="J24" i="17"/>
  <c r="I23" i="17"/>
  <c r="E9" i="17"/>
  <c r="E13" i="17"/>
  <c r="E17" i="17"/>
  <c r="E21" i="17"/>
  <c r="E25" i="17"/>
  <c r="E29" i="17"/>
  <c r="E33" i="17"/>
  <c r="E37" i="17"/>
  <c r="I33" i="17"/>
  <c r="J33" i="17" s="1"/>
  <c r="I37" i="17"/>
  <c r="J37" i="17" s="1"/>
  <c r="I41" i="17"/>
  <c r="J41" i="17" s="1"/>
  <c r="I45" i="17"/>
  <c r="J45" i="17" s="1"/>
  <c r="I49" i="17"/>
  <c r="J49" i="17" s="1"/>
  <c r="I53" i="17"/>
  <c r="J53" i="17" s="1"/>
  <c r="I57" i="17"/>
  <c r="J57" i="17" s="1"/>
  <c r="I61" i="17"/>
  <c r="J61" i="17" s="1"/>
  <c r="J23" i="17"/>
  <c r="I22" i="17"/>
  <c r="I38" i="17"/>
  <c r="J38" i="17" s="1"/>
  <c r="I54" i="17"/>
  <c r="J54" i="17" s="1"/>
  <c r="E12" i="17"/>
  <c r="E18" i="17"/>
  <c r="E23" i="17"/>
  <c r="E28" i="17"/>
  <c r="E34" i="17"/>
  <c r="I58" i="17"/>
  <c r="J58" i="17" s="1"/>
  <c r="E24" i="17"/>
  <c r="I46" i="17"/>
  <c r="J46" i="17" s="1"/>
  <c r="I31" i="17"/>
  <c r="J31" i="17" s="1"/>
  <c r="E10" i="17"/>
  <c r="E15" i="17"/>
  <c r="E20" i="17"/>
  <c r="E26" i="17"/>
  <c r="E31" i="17"/>
  <c r="E36" i="17"/>
  <c r="I13" i="17"/>
  <c r="J19" i="17" s="1"/>
  <c r="I34" i="17"/>
  <c r="J34" i="17" s="1"/>
  <c r="I50" i="17"/>
  <c r="J50" i="17" s="1"/>
  <c r="J22" i="17"/>
  <c r="I12" i="17"/>
  <c r="J12" i="17" s="1"/>
  <c r="E11" i="17"/>
  <c r="E16" i="17"/>
  <c r="E22" i="17"/>
  <c r="E27" i="17"/>
  <c r="E32" i="17"/>
  <c r="E7" i="17"/>
  <c r="I17" i="17"/>
  <c r="I42" i="17"/>
  <c r="J42" i="17" s="1"/>
  <c r="E14" i="17"/>
  <c r="E19" i="17"/>
  <c r="E30" i="17"/>
  <c r="E35" i="17"/>
  <c r="I10" i="17"/>
  <c r="A18" i="12"/>
  <c r="A19" i="12"/>
  <c r="A17" i="12"/>
  <c r="K24" i="17" l="1"/>
  <c r="L24" i="17" s="1"/>
  <c r="K23" i="17"/>
  <c r="L23" i="17" s="1"/>
  <c r="J18" i="17"/>
  <c r="K50" i="17"/>
  <c r="K22" i="17"/>
  <c r="L22" i="17" s="1"/>
  <c r="K58" i="17"/>
  <c r="K60" i="17"/>
  <c r="K34" i="17"/>
  <c r="K31" i="17"/>
  <c r="K49" i="17"/>
  <c r="K33" i="17"/>
  <c r="K56" i="17"/>
  <c r="K40" i="17"/>
  <c r="K47" i="17"/>
  <c r="K42" i="17"/>
  <c r="K46" i="17"/>
  <c r="K54" i="17"/>
  <c r="K52" i="17"/>
  <c r="K36" i="17"/>
  <c r="K38" i="17"/>
  <c r="K57" i="17"/>
  <c r="K41" i="17"/>
  <c r="K48" i="17"/>
  <c r="K32" i="17"/>
  <c r="K55" i="17"/>
  <c r="K39" i="17"/>
  <c r="K44" i="17"/>
  <c r="J10" i="17"/>
  <c r="I9" i="17"/>
  <c r="J9" i="17" s="1"/>
  <c r="P24" i="17"/>
  <c r="O24" i="17"/>
  <c r="N24" i="17"/>
  <c r="M24" i="17"/>
  <c r="K37" i="17"/>
  <c r="K45" i="17"/>
  <c r="K53" i="17"/>
  <c r="K61" i="17"/>
  <c r="I18" i="17"/>
  <c r="J13" i="17"/>
  <c r="P23" i="17"/>
  <c r="M23" i="17"/>
  <c r="N23" i="17"/>
  <c r="O23" i="17"/>
  <c r="K35" i="17"/>
  <c r="K43" i="17"/>
  <c r="K51" i="17"/>
  <c r="K59" i="17"/>
  <c r="J17" i="17"/>
  <c r="N22" i="17"/>
  <c r="O22" i="17"/>
  <c r="M22" i="17"/>
  <c r="P22" i="17"/>
  <c r="B54" i="12"/>
  <c r="B55" i="12"/>
  <c r="B47" i="12"/>
  <c r="B48" i="12"/>
  <c r="B49" i="12"/>
  <c r="B50" i="12"/>
  <c r="B51" i="12"/>
  <c r="B52" i="12"/>
  <c r="B53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25" i="12"/>
  <c r="B24" i="12"/>
  <c r="A24" i="12"/>
  <c r="A3" i="12"/>
  <c r="A3" i="17" s="1"/>
  <c r="C14" i="23" l="1"/>
  <c r="C26" i="12" s="1"/>
  <c r="D14" i="23"/>
  <c r="D26" i="12" s="1"/>
  <c r="E14" i="23"/>
  <c r="E26" i="12" s="1"/>
  <c r="C15" i="23"/>
  <c r="C27" i="12" s="1"/>
  <c r="D15" i="23"/>
  <c r="D27" i="12" s="1"/>
  <c r="E15" i="23"/>
  <c r="E27" i="12" s="1"/>
  <c r="C16" i="23"/>
  <c r="C28" i="12" s="1"/>
  <c r="D16" i="23"/>
  <c r="D28" i="12" s="1"/>
  <c r="E16" i="23"/>
  <c r="E28" i="12" s="1"/>
  <c r="C17" i="23"/>
  <c r="C29" i="12" s="1"/>
  <c r="D17" i="23"/>
  <c r="D29" i="12" s="1"/>
  <c r="E17" i="23"/>
  <c r="E29" i="12" s="1"/>
  <c r="C18" i="23"/>
  <c r="C30" i="12" s="1"/>
  <c r="D18" i="23"/>
  <c r="D30" i="12" s="1"/>
  <c r="E18" i="23"/>
  <c r="E30" i="12" s="1"/>
  <c r="C19" i="23"/>
  <c r="C31" i="12" s="1"/>
  <c r="D19" i="23"/>
  <c r="D31" i="12" s="1"/>
  <c r="E19" i="23"/>
  <c r="E31" i="12" s="1"/>
  <c r="C20" i="23"/>
  <c r="C32" i="12" s="1"/>
  <c r="D20" i="23"/>
  <c r="D32" i="12" s="1"/>
  <c r="E20" i="23"/>
  <c r="E32" i="12" s="1"/>
  <c r="C21" i="23"/>
  <c r="C33" i="12" s="1"/>
  <c r="D21" i="23"/>
  <c r="D33" i="12" s="1"/>
  <c r="E21" i="23"/>
  <c r="E33" i="12" s="1"/>
  <c r="C22" i="23"/>
  <c r="C34" i="12" s="1"/>
  <c r="D22" i="23"/>
  <c r="D34" i="12" s="1"/>
  <c r="E22" i="23"/>
  <c r="E34" i="12" s="1"/>
  <c r="C23" i="23"/>
  <c r="C35" i="12" s="1"/>
  <c r="D23" i="23"/>
  <c r="D35" i="12" s="1"/>
  <c r="E23" i="23"/>
  <c r="E35" i="12" s="1"/>
  <c r="C24" i="23"/>
  <c r="C36" i="12" s="1"/>
  <c r="D24" i="23"/>
  <c r="D36" i="12" s="1"/>
  <c r="E24" i="23"/>
  <c r="E36" i="12" s="1"/>
  <c r="C25" i="23"/>
  <c r="C37" i="12" s="1"/>
  <c r="D25" i="23"/>
  <c r="D37" i="12" s="1"/>
  <c r="E25" i="23"/>
  <c r="E37" i="12" s="1"/>
  <c r="C26" i="23"/>
  <c r="C38" i="12" s="1"/>
  <c r="D26" i="23"/>
  <c r="D38" i="12" s="1"/>
  <c r="E26" i="23"/>
  <c r="E38" i="12" s="1"/>
  <c r="C27" i="23"/>
  <c r="C39" i="12" s="1"/>
  <c r="D27" i="23"/>
  <c r="D39" i="12" s="1"/>
  <c r="E27" i="23"/>
  <c r="E39" i="12" s="1"/>
  <c r="C28" i="23"/>
  <c r="C40" i="12" s="1"/>
  <c r="D28" i="23"/>
  <c r="D40" i="12" s="1"/>
  <c r="E28" i="23"/>
  <c r="E40" i="12" s="1"/>
  <c r="C29" i="23"/>
  <c r="C41" i="12" s="1"/>
  <c r="D29" i="23"/>
  <c r="D41" i="12" s="1"/>
  <c r="E29" i="23"/>
  <c r="E41" i="12" s="1"/>
  <c r="C30" i="23"/>
  <c r="C42" i="12" s="1"/>
  <c r="D30" i="23"/>
  <c r="D42" i="12" s="1"/>
  <c r="E30" i="23"/>
  <c r="E42" i="12" s="1"/>
  <c r="C31" i="23"/>
  <c r="C43" i="12" s="1"/>
  <c r="D31" i="23"/>
  <c r="D43" i="12" s="1"/>
  <c r="E31" i="23"/>
  <c r="E43" i="12" s="1"/>
  <c r="C32" i="23"/>
  <c r="C44" i="12" s="1"/>
  <c r="D32" i="23"/>
  <c r="D44" i="12" s="1"/>
  <c r="E32" i="23"/>
  <c r="E44" i="12" s="1"/>
  <c r="C33" i="23"/>
  <c r="C45" i="12" s="1"/>
  <c r="D33" i="23"/>
  <c r="D45" i="12" s="1"/>
  <c r="E33" i="23"/>
  <c r="E45" i="12" s="1"/>
  <c r="C34" i="23"/>
  <c r="C46" i="12" s="1"/>
  <c r="D34" i="23"/>
  <c r="D46" i="12" s="1"/>
  <c r="E34" i="23"/>
  <c r="E46" i="12" s="1"/>
  <c r="C35" i="23"/>
  <c r="C47" i="12" s="1"/>
  <c r="D35" i="23"/>
  <c r="D47" i="12" s="1"/>
  <c r="E35" i="23"/>
  <c r="E47" i="12" s="1"/>
  <c r="C36" i="23"/>
  <c r="C48" i="12" s="1"/>
  <c r="D36" i="23"/>
  <c r="D48" i="12" s="1"/>
  <c r="E36" i="23"/>
  <c r="E48" i="12" s="1"/>
  <c r="C37" i="23"/>
  <c r="C49" i="12" s="1"/>
  <c r="D37" i="23"/>
  <c r="D49" i="12" s="1"/>
  <c r="E37" i="23"/>
  <c r="E49" i="12" s="1"/>
  <c r="C38" i="23"/>
  <c r="C50" i="12" s="1"/>
  <c r="D38" i="23"/>
  <c r="D50" i="12" s="1"/>
  <c r="E38" i="23"/>
  <c r="E50" i="12" s="1"/>
  <c r="C39" i="23"/>
  <c r="C51" i="12" s="1"/>
  <c r="D39" i="23"/>
  <c r="D51" i="12" s="1"/>
  <c r="E39" i="23"/>
  <c r="E51" i="12" s="1"/>
  <c r="C40" i="23"/>
  <c r="C52" i="12" s="1"/>
  <c r="D40" i="23"/>
  <c r="D52" i="12" s="1"/>
  <c r="E40" i="23"/>
  <c r="E52" i="12" s="1"/>
  <c r="C41" i="23"/>
  <c r="C53" i="12" s="1"/>
  <c r="D41" i="23"/>
  <c r="D53" i="12" s="1"/>
  <c r="E41" i="23"/>
  <c r="E53" i="12" s="1"/>
  <c r="C42" i="23"/>
  <c r="C54" i="12" s="1"/>
  <c r="D42" i="23"/>
  <c r="D54" i="12" s="1"/>
  <c r="E42" i="23"/>
  <c r="E54" i="12" s="1"/>
  <c r="C43" i="23"/>
  <c r="C55" i="12" s="1"/>
  <c r="D43" i="23"/>
  <c r="D55" i="12" s="1"/>
  <c r="E43" i="23"/>
  <c r="E55" i="12" s="1"/>
  <c r="D13" i="23"/>
  <c r="D25" i="12" s="1"/>
  <c r="E13" i="23"/>
  <c r="E25" i="12" s="1"/>
  <c r="C13" i="23"/>
  <c r="C25" i="12" s="1"/>
  <c r="A37" i="23"/>
  <c r="A49" i="12" s="1"/>
  <c r="A38" i="23"/>
  <c r="A50" i="12" s="1"/>
  <c r="A39" i="23"/>
  <c r="A51" i="12" s="1"/>
  <c r="A40" i="23"/>
  <c r="A52" i="12" s="1"/>
  <c r="A41" i="23"/>
  <c r="A53" i="12" s="1"/>
  <c r="A42" i="23"/>
  <c r="A54" i="12" s="1"/>
  <c r="A43" i="23"/>
  <c r="A55" i="12" s="1"/>
  <c r="A14" i="23"/>
  <c r="A26" i="12" s="1"/>
  <c r="A15" i="23"/>
  <c r="A27" i="12" s="1"/>
  <c r="A16" i="23"/>
  <c r="A28" i="12" s="1"/>
  <c r="A17" i="23"/>
  <c r="A29" i="12" s="1"/>
  <c r="A18" i="23"/>
  <c r="A30" i="12" s="1"/>
  <c r="A19" i="23"/>
  <c r="A31" i="12" s="1"/>
  <c r="A20" i="23"/>
  <c r="A32" i="12" s="1"/>
  <c r="A21" i="23"/>
  <c r="A33" i="12" s="1"/>
  <c r="A22" i="23"/>
  <c r="A34" i="12" s="1"/>
  <c r="A23" i="23"/>
  <c r="A35" i="12" s="1"/>
  <c r="A24" i="23"/>
  <c r="A36" i="12" s="1"/>
  <c r="A25" i="23"/>
  <c r="A37" i="12" s="1"/>
  <c r="A26" i="23"/>
  <c r="A38" i="12" s="1"/>
  <c r="A27" i="23"/>
  <c r="A39" i="12" s="1"/>
  <c r="A28" i="23"/>
  <c r="A40" i="12" s="1"/>
  <c r="A29" i="23"/>
  <c r="A41" i="12" s="1"/>
  <c r="A30" i="23"/>
  <c r="A42" i="12" s="1"/>
  <c r="A31" i="23"/>
  <c r="A43" i="12" s="1"/>
  <c r="A32" i="23"/>
  <c r="A44" i="12" s="1"/>
  <c r="A33" i="23"/>
  <c r="A45" i="12" s="1"/>
  <c r="A34" i="23"/>
  <c r="A46" i="12" s="1"/>
  <c r="A35" i="23"/>
  <c r="A47" i="12" s="1"/>
  <c r="A36" i="23"/>
  <c r="A48" i="12" s="1"/>
  <c r="A13" i="23"/>
  <c r="A25" i="12" s="1"/>
  <c r="D12" i="23"/>
  <c r="D24" i="12" s="1"/>
  <c r="E12" i="23"/>
  <c r="E24" i="12" s="1"/>
  <c r="C12" i="23"/>
  <c r="C24" i="12" s="1"/>
  <c r="C7" i="12" l="1" a="1"/>
  <c r="B13" i="12"/>
  <c r="B17" i="12"/>
  <c r="B19" i="12"/>
  <c r="B18" i="12"/>
  <c r="J7" i="12" a="1"/>
  <c r="B9" i="12"/>
  <c r="P23" i="23" a="1"/>
  <c r="P23" i="23" s="1"/>
  <c r="N23" i="23" a="1"/>
  <c r="N23" i="23" s="1"/>
  <c r="O23" i="23" a="1"/>
  <c r="O23" i="23" s="1"/>
  <c r="O19" i="23"/>
  <c r="J19" i="23"/>
  <c r="N15" i="23"/>
  <c r="O17" i="23"/>
  <c r="J14" i="23"/>
  <c r="N19" i="23"/>
  <c r="N17" i="23"/>
  <c r="P16" i="23"/>
  <c r="P15" i="23"/>
  <c r="J18" i="23"/>
  <c r="O18" i="23"/>
  <c r="O16" i="23"/>
  <c r="J20" i="23"/>
  <c r="G13" i="23"/>
  <c r="O15" i="23"/>
  <c r="N18" i="23"/>
  <c r="N16" i="23"/>
  <c r="G33" i="23"/>
  <c r="G29" i="23"/>
  <c r="G25" i="23"/>
  <c r="G21" i="23"/>
  <c r="G17" i="23"/>
  <c r="G43" i="23"/>
  <c r="G39" i="23"/>
  <c r="G34" i="23"/>
  <c r="G30" i="23"/>
  <c r="G18" i="23"/>
  <c r="G35" i="23"/>
  <c r="G31" i="23"/>
  <c r="G27" i="23"/>
  <c r="G23" i="23"/>
  <c r="G19" i="23"/>
  <c r="G15" i="23"/>
  <c r="G41" i="23"/>
  <c r="G37" i="23"/>
  <c r="G26" i="23"/>
  <c r="G22" i="23"/>
  <c r="G14" i="23"/>
  <c r="G40" i="23"/>
  <c r="G36" i="23"/>
  <c r="G32" i="23"/>
  <c r="G28" i="23"/>
  <c r="G24" i="23"/>
  <c r="G20" i="23"/>
  <c r="G16" i="23"/>
  <c r="G42" i="23"/>
  <c r="G38" i="23"/>
  <c r="C7" i="23" a="1"/>
  <c r="C7" i="23" s="1"/>
  <c r="J21" i="23" l="1"/>
  <c r="J8" i="12"/>
  <c r="K9" i="12"/>
  <c r="L7" i="12"/>
  <c r="L8" i="12"/>
  <c r="K7" i="12"/>
  <c r="K8" i="12"/>
  <c r="J7" i="12"/>
  <c r="L9" i="12"/>
  <c r="J9" i="12"/>
  <c r="C7" i="12"/>
  <c r="J17" i="12" s="1"/>
  <c r="E7" i="12"/>
  <c r="J19" i="12" s="1"/>
  <c r="D7" i="12"/>
  <c r="J18" i="12" s="1"/>
  <c r="D7" i="23"/>
  <c r="E7" i="23"/>
  <c r="K53" i="12" l="1" a="1"/>
  <c r="K53" i="12" s="1"/>
  <c r="B10" i="12"/>
  <c r="B11" i="12" s="1"/>
  <c r="H7" i="12" s="1"/>
  <c r="H8" i="12" s="1"/>
  <c r="K17" i="12" s="1"/>
  <c r="H27" i="12" a="1"/>
  <c r="H27" i="12" s="1"/>
  <c r="K37" i="12" a="1"/>
  <c r="K37" i="12" s="1"/>
  <c r="H44" i="12" a="1"/>
  <c r="H44" i="12" s="1"/>
  <c r="H43" i="12" a="1"/>
  <c r="H43" i="12" s="1"/>
  <c r="K28" i="12" a="1"/>
  <c r="K28" i="12" s="1"/>
  <c r="H30" i="12" a="1"/>
  <c r="H30" i="12" s="1"/>
  <c r="H50" i="12" a="1"/>
  <c r="H50" i="12" s="1"/>
  <c r="K54" i="12" a="1"/>
  <c r="K54" i="12" s="1"/>
  <c r="K35" i="12" a="1"/>
  <c r="K35" i="12" s="1"/>
  <c r="H36" i="12" a="1"/>
  <c r="H36" i="12" s="1"/>
  <c r="K50" i="12" a="1"/>
  <c r="K50" i="12" s="1"/>
  <c r="K33" i="12" a="1"/>
  <c r="K33" i="12" s="1"/>
  <c r="K27" i="12" a="1"/>
  <c r="K27" i="12" s="1"/>
  <c r="H49" i="12" a="1"/>
  <c r="H49" i="12" s="1"/>
  <c r="H42" i="12" a="1"/>
  <c r="H42" i="12" s="1"/>
  <c r="K46" i="12" a="1"/>
  <c r="K46" i="12" s="1"/>
  <c r="H25" i="12" a="1"/>
  <c r="H25" i="12" s="1"/>
  <c r="H45" i="12" a="1"/>
  <c r="H45" i="12" s="1"/>
  <c r="K25" i="12" a="1"/>
  <c r="K25" i="12" s="1"/>
  <c r="H47" i="12" a="1"/>
  <c r="H47" i="12" s="1"/>
  <c r="H37" i="12" a="1"/>
  <c r="H37" i="12" s="1"/>
  <c r="K31" i="12" a="1"/>
  <c r="K31" i="12" s="1"/>
  <c r="K40" i="12" a="1"/>
  <c r="K40" i="12" s="1"/>
  <c r="H39" i="12" a="1"/>
  <c r="H39" i="12" s="1"/>
  <c r="K26" i="12" a="1"/>
  <c r="K26" i="12" s="1"/>
  <c r="K43" i="12" a="1"/>
  <c r="K43" i="12" s="1"/>
  <c r="H41" i="12" a="1"/>
  <c r="H41" i="12" s="1"/>
  <c r="H34" i="12" a="1"/>
  <c r="H34" i="12" s="1"/>
  <c r="K38" i="12" a="1"/>
  <c r="K38" i="12" s="1"/>
  <c r="H26" i="12" a="1"/>
  <c r="H26" i="12" s="1"/>
  <c r="H51" i="12" a="1"/>
  <c r="H51" i="12" s="1"/>
  <c r="K52" i="12" a="1"/>
  <c r="K52" i="12" s="1"/>
  <c r="K34" i="12" a="1"/>
  <c r="K34" i="12" s="1"/>
  <c r="H35" i="12" a="1"/>
  <c r="H35" i="12" s="1"/>
  <c r="H32" i="12" a="1"/>
  <c r="H32" i="12" s="1"/>
  <c r="K42" i="12" a="1"/>
  <c r="K42" i="12" s="1"/>
  <c r="K30" i="12" a="1"/>
  <c r="K30" i="12" s="1"/>
  <c r="H48" i="12" a="1"/>
  <c r="H48" i="12" s="1"/>
  <c r="K41" i="12" a="1"/>
  <c r="K41" i="12" s="1"/>
  <c r="H33" i="12" a="1"/>
  <c r="H33" i="12" s="1"/>
  <c r="H29" i="12" a="1"/>
  <c r="H29" i="12" s="1"/>
  <c r="H54" i="12" a="1"/>
  <c r="H54" i="12" s="1"/>
  <c r="K55" i="12" a="1"/>
  <c r="K55" i="12" s="1"/>
  <c r="K45" i="12" a="1"/>
  <c r="K45" i="12" s="1"/>
  <c r="H40" i="12" a="1"/>
  <c r="H40" i="12" s="1"/>
  <c r="H31" i="12" a="1"/>
  <c r="H31" i="12" s="1"/>
  <c r="K36" i="12" a="1"/>
  <c r="K36" i="12" s="1"/>
  <c r="K51" i="12" a="1"/>
  <c r="K51" i="12" s="1"/>
  <c r="H53" i="12" a="1"/>
  <c r="H53" i="12" s="1"/>
  <c r="H46" i="12" a="1"/>
  <c r="H46" i="12" s="1"/>
  <c r="K47" i="12" a="1"/>
  <c r="K47" i="12" s="1"/>
  <c r="K29" i="12" a="1"/>
  <c r="K29" i="12" s="1"/>
  <c r="K44" i="12" a="1"/>
  <c r="K44" i="12" s="1"/>
  <c r="H55" i="12" a="1"/>
  <c r="H55" i="12" s="1"/>
  <c r="H38" i="12" a="1"/>
  <c r="H38" i="12" s="1"/>
  <c r="K39" i="12" a="1"/>
  <c r="K39" i="12" s="1"/>
  <c r="H52" i="12" a="1"/>
  <c r="H52" i="12" s="1"/>
  <c r="K49" i="12" a="1"/>
  <c r="K49" i="12" s="1"/>
  <c r="K32" i="12" a="1"/>
  <c r="K32" i="12" s="1"/>
  <c r="H28" i="12" a="1"/>
  <c r="H28" i="12" s="1"/>
  <c r="K48" i="12" a="1"/>
  <c r="K48" i="12" s="1"/>
  <c r="W29" i="26"/>
  <c r="M18" i="12" l="1"/>
  <c r="N18" i="12" s="1"/>
  <c r="K18" i="12"/>
  <c r="M19" i="12"/>
  <c r="N19" i="12" s="1"/>
  <c r="M17" i="12"/>
  <c r="N17" i="12" s="1"/>
  <c r="K19" i="12"/>
  <c r="E18" i="12"/>
  <c r="F17" i="12"/>
  <c r="E17" i="12"/>
  <c r="F18" i="12"/>
  <c r="F19" i="12"/>
  <c r="E19" i="12"/>
  <c r="B65" i="22"/>
  <c r="C65" i="22"/>
  <c r="D65" i="22"/>
  <c r="B66" i="22"/>
  <c r="C66" i="22"/>
  <c r="D66" i="22"/>
  <c r="B37" i="22"/>
  <c r="C37" i="22"/>
  <c r="D37" i="22"/>
  <c r="B38" i="22"/>
  <c r="C38" i="22"/>
  <c r="D38" i="22"/>
  <c r="B39" i="22"/>
  <c r="C39" i="22"/>
  <c r="D39" i="22"/>
  <c r="B40" i="22"/>
  <c r="C40" i="22"/>
  <c r="D40" i="22"/>
  <c r="B41" i="22"/>
  <c r="C41" i="22"/>
  <c r="D41" i="22"/>
  <c r="B42" i="22"/>
  <c r="C42" i="22"/>
  <c r="D42" i="22"/>
  <c r="B43" i="22"/>
  <c r="C43" i="22"/>
  <c r="D43" i="22"/>
  <c r="B44" i="22"/>
  <c r="C44" i="22"/>
  <c r="D44" i="22"/>
  <c r="B45" i="22"/>
  <c r="C45" i="22"/>
  <c r="D45" i="22"/>
  <c r="B46" i="22"/>
  <c r="C46" i="22"/>
  <c r="D46" i="22"/>
  <c r="B47" i="22"/>
  <c r="C47" i="22"/>
  <c r="D47" i="22"/>
  <c r="B48" i="22"/>
  <c r="C48" i="22"/>
  <c r="D48" i="22"/>
  <c r="B49" i="22"/>
  <c r="C49" i="22"/>
  <c r="D49" i="22"/>
  <c r="B50" i="22"/>
  <c r="C50" i="22"/>
  <c r="D50" i="22"/>
  <c r="B51" i="22"/>
  <c r="C51" i="22"/>
  <c r="D51" i="22"/>
  <c r="B52" i="22"/>
  <c r="C52" i="22"/>
  <c r="D52" i="22"/>
  <c r="B53" i="22"/>
  <c r="C53" i="22"/>
  <c r="D53" i="22"/>
  <c r="B54" i="22"/>
  <c r="C54" i="22"/>
  <c r="D54" i="22"/>
  <c r="B55" i="22"/>
  <c r="C55" i="22"/>
  <c r="D55" i="22"/>
  <c r="B56" i="22"/>
  <c r="C56" i="22"/>
  <c r="D56" i="22"/>
  <c r="B57" i="22"/>
  <c r="C57" i="22"/>
  <c r="D57" i="22"/>
  <c r="B58" i="22"/>
  <c r="C58" i="22"/>
  <c r="D58" i="22"/>
  <c r="B59" i="22"/>
  <c r="C59" i="22"/>
  <c r="D59" i="22"/>
  <c r="B60" i="22"/>
  <c r="C60" i="22"/>
  <c r="D60" i="22"/>
  <c r="B61" i="22"/>
  <c r="C61" i="22"/>
  <c r="D61" i="22"/>
  <c r="B62" i="22"/>
  <c r="C62" i="22"/>
  <c r="D62" i="22"/>
  <c r="B63" i="22"/>
  <c r="C63" i="22"/>
  <c r="D63" i="22"/>
  <c r="B64" i="22"/>
  <c r="C64" i="22"/>
  <c r="D64" i="22"/>
  <c r="D36" i="22"/>
  <c r="C36" i="22"/>
  <c r="B36" i="22"/>
  <c r="A72" i="22" l="1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71" i="22"/>
  <c r="A70" i="22"/>
  <c r="C21" i="22" l="1"/>
  <c r="D21" i="22"/>
  <c r="B21" i="22"/>
  <c r="C20" i="22"/>
  <c r="D20" i="22"/>
  <c r="B20" i="22"/>
  <c r="C19" i="22"/>
  <c r="D19" i="22"/>
  <c r="B19" i="22"/>
  <c r="C18" i="22"/>
  <c r="D18" i="22"/>
  <c r="B18" i="22"/>
  <c r="A11" i="22"/>
  <c r="B72" i="22" l="1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71" i="22"/>
  <c r="D71" i="22"/>
  <c r="R71" i="22" s="1"/>
  <c r="D75" i="22"/>
  <c r="R75" i="22" s="1"/>
  <c r="D79" i="22"/>
  <c r="R79" i="22" s="1"/>
  <c r="D83" i="22"/>
  <c r="R83" i="22" s="1"/>
  <c r="D87" i="22"/>
  <c r="R87" i="22" s="1"/>
  <c r="D91" i="22"/>
  <c r="R91" i="22" s="1"/>
  <c r="D95" i="22"/>
  <c r="R95" i="22" s="1"/>
  <c r="D99" i="22"/>
  <c r="R99" i="22" s="1"/>
  <c r="D74" i="22"/>
  <c r="R74" i="22" s="1"/>
  <c r="D78" i="22"/>
  <c r="R78" i="22" s="1"/>
  <c r="D82" i="22"/>
  <c r="R82" i="22" s="1"/>
  <c r="D86" i="22"/>
  <c r="R86" i="22" s="1"/>
  <c r="D90" i="22"/>
  <c r="R90" i="22" s="1"/>
  <c r="D94" i="22"/>
  <c r="R94" i="22" s="1"/>
  <c r="D98" i="22"/>
  <c r="R98" i="22" s="1"/>
  <c r="D73" i="22"/>
  <c r="R73" i="22" s="1"/>
  <c r="D77" i="22"/>
  <c r="R77" i="22" s="1"/>
  <c r="D81" i="22"/>
  <c r="R81" i="22" s="1"/>
  <c r="D85" i="22"/>
  <c r="R85" i="22" s="1"/>
  <c r="D89" i="22"/>
  <c r="R89" i="22" s="1"/>
  <c r="D93" i="22"/>
  <c r="R93" i="22" s="1"/>
  <c r="D97" i="22"/>
  <c r="R97" i="22" s="1"/>
  <c r="D101" i="22"/>
  <c r="R101" i="22" s="1"/>
  <c r="D76" i="22"/>
  <c r="R76" i="22" s="1"/>
  <c r="D84" i="22"/>
  <c r="R84" i="22" s="1"/>
  <c r="D92" i="22"/>
  <c r="R92" i="22" s="1"/>
  <c r="D100" i="22"/>
  <c r="R100" i="22" s="1"/>
  <c r="D72" i="22"/>
  <c r="R72" i="22" s="1"/>
  <c r="D80" i="22"/>
  <c r="R80" i="22" s="1"/>
  <c r="D88" i="22"/>
  <c r="R88" i="22" s="1"/>
  <c r="D96" i="22"/>
  <c r="R96" i="22" s="1"/>
  <c r="C71" i="22"/>
  <c r="C74" i="22"/>
  <c r="Q74" i="22" s="1"/>
  <c r="C78" i="22"/>
  <c r="Q78" i="22" s="1"/>
  <c r="C82" i="22"/>
  <c r="Q82" i="22" s="1"/>
  <c r="C86" i="22"/>
  <c r="Q86" i="22" s="1"/>
  <c r="C90" i="22"/>
  <c r="Q90" i="22" s="1"/>
  <c r="C94" i="22"/>
  <c r="Q94" i="22" s="1"/>
  <c r="C98" i="22"/>
  <c r="Q98" i="22" s="1"/>
  <c r="C73" i="22"/>
  <c r="Q73" i="22" s="1"/>
  <c r="C77" i="22"/>
  <c r="Q77" i="22" s="1"/>
  <c r="C81" i="22"/>
  <c r="Q81" i="22" s="1"/>
  <c r="C85" i="22"/>
  <c r="Q85" i="22" s="1"/>
  <c r="C89" i="22"/>
  <c r="Q89" i="22" s="1"/>
  <c r="C93" i="22"/>
  <c r="Q93" i="22" s="1"/>
  <c r="C97" i="22"/>
  <c r="Q97" i="22" s="1"/>
  <c r="C101" i="22"/>
  <c r="Q101" i="22" s="1"/>
  <c r="C72" i="22"/>
  <c r="Q72" i="22" s="1"/>
  <c r="C76" i="22"/>
  <c r="Q76" i="22" s="1"/>
  <c r="C80" i="22"/>
  <c r="Q80" i="22" s="1"/>
  <c r="C84" i="22"/>
  <c r="Q84" i="22" s="1"/>
  <c r="C88" i="22"/>
  <c r="Q88" i="22" s="1"/>
  <c r="C92" i="22"/>
  <c r="Q92" i="22" s="1"/>
  <c r="C96" i="22"/>
  <c r="Q96" i="22" s="1"/>
  <c r="C100" i="22"/>
  <c r="Q100" i="22" s="1"/>
  <c r="C79" i="22"/>
  <c r="Q79" i="22" s="1"/>
  <c r="C87" i="22"/>
  <c r="Q87" i="22" s="1"/>
  <c r="C95" i="22"/>
  <c r="Q95" i="22" s="1"/>
  <c r="C75" i="22"/>
  <c r="Q75" i="22" s="1"/>
  <c r="C83" i="22"/>
  <c r="Q83" i="22" s="1"/>
  <c r="C91" i="22"/>
  <c r="Q91" i="22" s="1"/>
  <c r="C99" i="22"/>
  <c r="Q99" i="22" s="1"/>
  <c r="D9" i="9"/>
  <c r="C9" i="9"/>
  <c r="B9" i="9"/>
  <c r="I20" i="9" s="1"/>
  <c r="A25" i="22" l="1" a="1"/>
  <c r="Q71" i="22"/>
  <c r="M20" i="9"/>
  <c r="I21" i="9"/>
  <c r="J21" i="9"/>
  <c r="K21" i="9"/>
  <c r="I22" i="9"/>
  <c r="J22" i="9"/>
  <c r="K22" i="9"/>
  <c r="I23" i="9"/>
  <c r="J23" i="9"/>
  <c r="K23" i="9"/>
  <c r="I24" i="9"/>
  <c r="J24" i="9"/>
  <c r="K24" i="9"/>
  <c r="I25" i="9"/>
  <c r="J25" i="9"/>
  <c r="K25" i="9"/>
  <c r="I26" i="9"/>
  <c r="J26" i="9"/>
  <c r="K26" i="9"/>
  <c r="I27" i="9"/>
  <c r="J27" i="9"/>
  <c r="K27" i="9"/>
  <c r="I28" i="9"/>
  <c r="J28" i="9"/>
  <c r="K28" i="9"/>
  <c r="I29" i="9"/>
  <c r="J29" i="9"/>
  <c r="K29" i="9"/>
  <c r="I30" i="9"/>
  <c r="J30" i="9"/>
  <c r="K30" i="9"/>
  <c r="I31" i="9"/>
  <c r="J31" i="9"/>
  <c r="K31" i="9"/>
  <c r="I32" i="9"/>
  <c r="J32" i="9"/>
  <c r="K32" i="9"/>
  <c r="I33" i="9"/>
  <c r="J33" i="9"/>
  <c r="K33" i="9"/>
  <c r="I34" i="9"/>
  <c r="J34" i="9"/>
  <c r="K34" i="9"/>
  <c r="I35" i="9"/>
  <c r="J35" i="9"/>
  <c r="K35" i="9"/>
  <c r="I36" i="9"/>
  <c r="J36" i="9"/>
  <c r="K36" i="9"/>
  <c r="I37" i="9"/>
  <c r="J37" i="9"/>
  <c r="K37" i="9"/>
  <c r="I38" i="9"/>
  <c r="J38" i="9"/>
  <c r="K38" i="9"/>
  <c r="I39" i="9"/>
  <c r="J39" i="9"/>
  <c r="K39" i="9"/>
  <c r="I40" i="9"/>
  <c r="J40" i="9"/>
  <c r="K40" i="9"/>
  <c r="I41" i="9"/>
  <c r="J41" i="9"/>
  <c r="K41" i="9"/>
  <c r="I42" i="9"/>
  <c r="J42" i="9"/>
  <c r="K42" i="9"/>
  <c r="I43" i="9"/>
  <c r="J43" i="9"/>
  <c r="K43" i="9"/>
  <c r="I44" i="9"/>
  <c r="J44" i="9"/>
  <c r="K44" i="9"/>
  <c r="I45" i="9"/>
  <c r="J45" i="9"/>
  <c r="K45" i="9"/>
  <c r="I46" i="9"/>
  <c r="J46" i="9"/>
  <c r="K46" i="9"/>
  <c r="I47" i="9"/>
  <c r="J47" i="9"/>
  <c r="K47" i="9"/>
  <c r="I48" i="9"/>
  <c r="J48" i="9"/>
  <c r="K48" i="9"/>
  <c r="I49" i="9"/>
  <c r="J49" i="9"/>
  <c r="K49" i="9"/>
  <c r="I50" i="9"/>
  <c r="J50" i="9"/>
  <c r="K50" i="9"/>
  <c r="J20" i="9"/>
  <c r="K20" i="9"/>
  <c r="P20" i="9" s="1"/>
  <c r="B25" i="22" l="1"/>
  <c r="A28" i="22" s="1"/>
  <c r="H9" i="22" s="1"/>
  <c r="A25" i="22"/>
  <c r="B28" i="22" s="1"/>
  <c r="I9" i="22" s="1"/>
  <c r="C25" i="22"/>
  <c r="C28" i="22" s="1"/>
  <c r="Q20" i="9"/>
  <c r="N20" i="9"/>
  <c r="O20" i="9"/>
  <c r="Q49" i="9"/>
  <c r="N49" i="9"/>
  <c r="Q45" i="9"/>
  <c r="N45" i="9"/>
  <c r="O50" i="9"/>
  <c r="P50" i="9"/>
  <c r="M50" i="9"/>
  <c r="Q47" i="9"/>
  <c r="N47" i="9"/>
  <c r="O46" i="9"/>
  <c r="P46" i="9"/>
  <c r="M46" i="9"/>
  <c r="Q43" i="9"/>
  <c r="N43" i="9"/>
  <c r="O42" i="9"/>
  <c r="P42" i="9"/>
  <c r="M42" i="9"/>
  <c r="Q39" i="9"/>
  <c r="N39" i="9"/>
  <c r="O38" i="9"/>
  <c r="P38" i="9"/>
  <c r="M38" i="9"/>
  <c r="Q35" i="9"/>
  <c r="N35" i="9"/>
  <c r="O34" i="9"/>
  <c r="P34" i="9"/>
  <c r="M34" i="9"/>
  <c r="Q31" i="9"/>
  <c r="N31" i="9"/>
  <c r="O30" i="9"/>
  <c r="P30" i="9"/>
  <c r="M30" i="9"/>
  <c r="Q27" i="9"/>
  <c r="N27" i="9"/>
  <c r="O26" i="9"/>
  <c r="P26" i="9"/>
  <c r="M26" i="9"/>
  <c r="Q23" i="9"/>
  <c r="N23" i="9"/>
  <c r="O22" i="9"/>
  <c r="P22" i="9"/>
  <c r="M22" i="9"/>
  <c r="Q48" i="9"/>
  <c r="N48" i="9"/>
  <c r="M47" i="9"/>
  <c r="O47" i="9"/>
  <c r="P47" i="9"/>
  <c r="Q44" i="9"/>
  <c r="N44" i="9"/>
  <c r="M43" i="9"/>
  <c r="O43" i="9"/>
  <c r="P43" i="9"/>
  <c r="Q40" i="9"/>
  <c r="N40" i="9"/>
  <c r="M39" i="9"/>
  <c r="O39" i="9"/>
  <c r="P39" i="9"/>
  <c r="Q36" i="9"/>
  <c r="N36" i="9"/>
  <c r="M35" i="9"/>
  <c r="P35" i="9"/>
  <c r="O35" i="9"/>
  <c r="Q32" i="9"/>
  <c r="N32" i="9"/>
  <c r="M31" i="9"/>
  <c r="O31" i="9"/>
  <c r="P31" i="9"/>
  <c r="Q28" i="9"/>
  <c r="N28" i="9"/>
  <c r="M27" i="9"/>
  <c r="O27" i="9"/>
  <c r="P27" i="9"/>
  <c r="Q24" i="9"/>
  <c r="N24" i="9"/>
  <c r="M23" i="9"/>
  <c r="P23" i="9"/>
  <c r="O23" i="9"/>
  <c r="O48" i="9"/>
  <c r="P48" i="9"/>
  <c r="M48" i="9"/>
  <c r="O44" i="9"/>
  <c r="P44" i="9"/>
  <c r="M44" i="9"/>
  <c r="Q41" i="9"/>
  <c r="N41" i="9"/>
  <c r="O40" i="9"/>
  <c r="P40" i="9"/>
  <c r="M40" i="9"/>
  <c r="Q37" i="9"/>
  <c r="N37" i="9"/>
  <c r="O36" i="9"/>
  <c r="P36" i="9"/>
  <c r="M36" i="9"/>
  <c r="Q33" i="9"/>
  <c r="N33" i="9"/>
  <c r="O32" i="9"/>
  <c r="P32" i="9"/>
  <c r="M32" i="9"/>
  <c r="Q29" i="9"/>
  <c r="N29" i="9"/>
  <c r="O28" i="9"/>
  <c r="P28" i="9"/>
  <c r="M28" i="9"/>
  <c r="Q25" i="9"/>
  <c r="N25" i="9"/>
  <c r="O24" i="9"/>
  <c r="P24" i="9"/>
  <c r="M24" i="9"/>
  <c r="Q21" i="9"/>
  <c r="N21" i="9"/>
  <c r="Q50" i="9"/>
  <c r="N50" i="9"/>
  <c r="M49" i="9"/>
  <c r="P49" i="9"/>
  <c r="O49" i="9"/>
  <c r="Q46" i="9"/>
  <c r="N46" i="9"/>
  <c r="M45" i="9"/>
  <c r="P45" i="9"/>
  <c r="O45" i="9"/>
  <c r="Q42" i="9"/>
  <c r="N42" i="9"/>
  <c r="M41" i="9"/>
  <c r="O41" i="9"/>
  <c r="P41" i="9"/>
  <c r="Q38" i="9"/>
  <c r="N38" i="9"/>
  <c r="M37" i="9"/>
  <c r="O37" i="9"/>
  <c r="P37" i="9"/>
  <c r="Q34" i="9"/>
  <c r="N34" i="9"/>
  <c r="M33" i="9"/>
  <c r="P33" i="9"/>
  <c r="O33" i="9"/>
  <c r="Q30" i="9"/>
  <c r="N30" i="9"/>
  <c r="M29" i="9"/>
  <c r="P29" i="9"/>
  <c r="O29" i="9"/>
  <c r="Q26" i="9"/>
  <c r="N26" i="9"/>
  <c r="M25" i="9"/>
  <c r="P25" i="9"/>
  <c r="O25" i="9"/>
  <c r="Q22" i="9"/>
  <c r="N22" i="9"/>
  <c r="M21" i="9"/>
  <c r="P21" i="9"/>
  <c r="O21" i="9"/>
  <c r="P51" i="9" l="1"/>
  <c r="S94" i="22"/>
  <c r="S89" i="22"/>
  <c r="S73" i="22"/>
  <c r="S83" i="22"/>
  <c r="S98" i="22"/>
  <c r="S78" i="22"/>
  <c r="S92" i="22"/>
  <c r="S76" i="22"/>
  <c r="S101" i="22"/>
  <c r="S85" i="22"/>
  <c r="S99" i="22"/>
  <c r="S79" i="22"/>
  <c r="S90" i="22"/>
  <c r="S74" i="22"/>
  <c r="S88" i="22"/>
  <c r="S72" i="22"/>
  <c r="S97" i="22"/>
  <c r="S81" i="22"/>
  <c r="S95" i="22"/>
  <c r="S75" i="22"/>
  <c r="S86" i="22"/>
  <c r="S100" i="22"/>
  <c r="S84" i="22"/>
  <c r="S87" i="22"/>
  <c r="S93" i="22"/>
  <c r="S77" i="22"/>
  <c r="S91" i="22"/>
  <c r="S71" i="22"/>
  <c r="S82" i="22"/>
  <c r="S96" i="22"/>
  <c r="S80" i="22"/>
  <c r="N51" i="9"/>
  <c r="O51" i="9"/>
  <c r="Q51" i="9"/>
  <c r="M51" i="9"/>
  <c r="B6" i="21"/>
  <c r="F20" i="21" s="1"/>
  <c r="C6" i="21"/>
  <c r="L19" i="21" s="1"/>
  <c r="B8" i="21"/>
  <c r="C8" i="21"/>
  <c r="D8" i="21"/>
  <c r="B9" i="21"/>
  <c r="C9" i="21"/>
  <c r="D9" i="21"/>
  <c r="B10" i="21"/>
  <c r="C10" i="21"/>
  <c r="D10" i="21"/>
  <c r="B11" i="21"/>
  <c r="C11" i="21"/>
  <c r="D11" i="21"/>
  <c r="B12" i="21"/>
  <c r="C12" i="21"/>
  <c r="D12" i="21"/>
  <c r="B13" i="21"/>
  <c r="C13" i="21"/>
  <c r="D13" i="21"/>
  <c r="B14" i="21"/>
  <c r="C14" i="21"/>
  <c r="D14" i="21"/>
  <c r="B15" i="21"/>
  <c r="C15" i="21"/>
  <c r="D15" i="21"/>
  <c r="B16" i="21"/>
  <c r="C16" i="21"/>
  <c r="D16" i="21"/>
  <c r="B17" i="21"/>
  <c r="C17" i="21"/>
  <c r="D17" i="21"/>
  <c r="B18" i="21"/>
  <c r="C18" i="21"/>
  <c r="D18" i="21"/>
  <c r="B19" i="21"/>
  <c r="C19" i="21"/>
  <c r="D19" i="21"/>
  <c r="B20" i="21"/>
  <c r="C20" i="21"/>
  <c r="D20" i="21"/>
  <c r="B21" i="21"/>
  <c r="C21" i="21"/>
  <c r="D21" i="21"/>
  <c r="B22" i="21"/>
  <c r="C22" i="21"/>
  <c r="D22" i="21"/>
  <c r="B23" i="21"/>
  <c r="C23" i="21"/>
  <c r="D23" i="21"/>
  <c r="B24" i="21"/>
  <c r="C24" i="21"/>
  <c r="D24" i="21"/>
  <c r="B25" i="21"/>
  <c r="C25" i="21"/>
  <c r="D25" i="21"/>
  <c r="B26" i="21"/>
  <c r="C26" i="21"/>
  <c r="D26" i="21"/>
  <c r="B27" i="21"/>
  <c r="C27" i="21"/>
  <c r="D27" i="21"/>
  <c r="B28" i="21"/>
  <c r="C28" i="21"/>
  <c r="D28" i="21"/>
  <c r="B29" i="21"/>
  <c r="C29" i="21"/>
  <c r="D29" i="21"/>
  <c r="B30" i="21"/>
  <c r="C30" i="21"/>
  <c r="D30" i="21"/>
  <c r="B31" i="21"/>
  <c r="C31" i="21"/>
  <c r="D31" i="21"/>
  <c r="B32" i="21"/>
  <c r="C32" i="21"/>
  <c r="D32" i="21"/>
  <c r="B33" i="21"/>
  <c r="C33" i="21"/>
  <c r="D33" i="21"/>
  <c r="B34" i="21"/>
  <c r="C34" i="21"/>
  <c r="D34" i="21"/>
  <c r="B35" i="21"/>
  <c r="C35" i="21"/>
  <c r="D35" i="21"/>
  <c r="B36" i="21"/>
  <c r="C36" i="21"/>
  <c r="D36" i="21"/>
  <c r="B37" i="21"/>
  <c r="C37" i="21"/>
  <c r="D37" i="21"/>
  <c r="A31" i="21"/>
  <c r="A32" i="21"/>
  <c r="A33" i="21"/>
  <c r="A34" i="21"/>
  <c r="A35" i="21"/>
  <c r="A36" i="21"/>
  <c r="A3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B13" i="9" a="1"/>
  <c r="C13" i="9" s="1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C9" i="10"/>
  <c r="D9" i="10"/>
  <c r="E9" i="10"/>
  <c r="B35" i="22"/>
  <c r="C35" i="22"/>
  <c r="D35" i="22"/>
  <c r="R30" i="22"/>
  <c r="V24" i="22" s="1"/>
  <c r="K10" i="22"/>
  <c r="I14" i="22" s="1"/>
  <c r="E86" i="26"/>
  <c r="E88" i="26" s="1"/>
  <c r="D87" i="26"/>
  <c r="C87" i="26"/>
  <c r="B22" i="26"/>
  <c r="C71" i="26" s="1"/>
  <c r="W60" i="26"/>
  <c r="W61" i="26" s="1"/>
  <c r="P44" i="26"/>
  <c r="G44" i="26"/>
  <c r="R16" i="26"/>
  <c r="S16" i="26"/>
  <c r="C21" i="26"/>
  <c r="C22" i="26" s="1"/>
  <c r="D73" i="26"/>
  <c r="R17" i="26"/>
  <c r="U16" i="26"/>
  <c r="R30" i="26"/>
  <c r="V31" i="26" s="1"/>
  <c r="L43" i="26"/>
  <c r="H30" i="26"/>
  <c r="S30" i="26"/>
  <c r="W30" i="26" s="1"/>
  <c r="D62" i="26"/>
  <c r="G31" i="26"/>
  <c r="O30" i="26"/>
  <c r="O31" i="26" s="1"/>
  <c r="D75" i="26"/>
  <c r="D71" i="26"/>
  <c r="D82" i="26"/>
  <c r="H43" i="26"/>
  <c r="C88" i="26"/>
  <c r="T30" i="26"/>
  <c r="AE44" i="26" s="1"/>
  <c r="D6" i="21"/>
  <c r="B6" i="9"/>
  <c r="C6" i="9"/>
  <c r="D6" i="9"/>
  <c r="A3" i="10"/>
  <c r="M37" i="23"/>
  <c r="E10" i="23"/>
  <c r="C7" i="21"/>
  <c r="D7" i="21"/>
  <c r="B7" i="21"/>
  <c r="A7" i="21"/>
  <c r="B8" i="9"/>
  <c r="C8" i="9"/>
  <c r="D8" i="9"/>
  <c r="B7" i="9"/>
  <c r="C7" i="9"/>
  <c r="D7" i="9"/>
  <c r="G20" i="9"/>
  <c r="AA43" i="26" l="1"/>
  <c r="C80" i="26"/>
  <c r="D65" i="26"/>
  <c r="W23" i="26"/>
  <c r="W24" i="26" s="1"/>
  <c r="W26" i="26" s="1"/>
  <c r="W43" i="26"/>
  <c r="C63" i="26"/>
  <c r="D76" i="26"/>
  <c r="D68" i="26"/>
  <c r="V44" i="26"/>
  <c r="C81" i="26"/>
  <c r="D59" i="26"/>
  <c r="C74" i="26"/>
  <c r="X15" i="26"/>
  <c r="Y19" i="26" s="1"/>
  <c r="C77" i="26"/>
  <c r="C82" i="26"/>
  <c r="C70" i="26"/>
  <c r="C61" i="26"/>
  <c r="C64" i="26"/>
  <c r="C69" i="26"/>
  <c r="C65" i="26"/>
  <c r="C68" i="26"/>
  <c r="K17" i="17"/>
  <c r="I19" i="17"/>
  <c r="M31" i="17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M47" i="17" s="1"/>
  <c r="M48" i="17" s="1"/>
  <c r="M49" i="17" s="1"/>
  <c r="M50" i="17" s="1"/>
  <c r="M51" i="17" s="1"/>
  <c r="M52" i="17" s="1"/>
  <c r="M53" i="17" s="1"/>
  <c r="M54" i="17" s="1"/>
  <c r="M55" i="17" s="1"/>
  <c r="M56" i="17" s="1"/>
  <c r="M57" i="17" s="1"/>
  <c r="M58" i="17" s="1"/>
  <c r="M59" i="17" s="1"/>
  <c r="M60" i="17" s="1"/>
  <c r="M61" i="17" s="1"/>
  <c r="G35" i="22"/>
  <c r="C70" i="22"/>
  <c r="G70" i="22" s="1"/>
  <c r="D83" i="26"/>
  <c r="D67" i="26"/>
  <c r="D70" i="26"/>
  <c r="D81" i="26"/>
  <c r="D64" i="26"/>
  <c r="D72" i="26"/>
  <c r="J14" i="22"/>
  <c r="H14" i="22"/>
  <c r="B17" i="22"/>
  <c r="B70" i="22"/>
  <c r="K13" i="9"/>
  <c r="D60" i="26"/>
  <c r="D78" i="26"/>
  <c r="D66" i="26"/>
  <c r="D61" i="26"/>
  <c r="E89" i="26"/>
  <c r="D88" i="26"/>
  <c r="D32" i="26" s="1"/>
  <c r="S60" i="26" s="1"/>
  <c r="C75" i="26"/>
  <c r="C76" i="26"/>
  <c r="C60" i="26"/>
  <c r="C67" i="26"/>
  <c r="C79" i="26"/>
  <c r="C62" i="26"/>
  <c r="C73" i="26"/>
  <c r="C59" i="26"/>
  <c r="C31" i="26" s="1"/>
  <c r="R59" i="26" s="1"/>
  <c r="C72" i="26"/>
  <c r="C83" i="26"/>
  <c r="C66" i="26"/>
  <c r="C78" i="26"/>
  <c r="D74" i="26"/>
  <c r="D80" i="26"/>
  <c r="D69" i="26"/>
  <c r="D63" i="26"/>
  <c r="D79" i="26"/>
  <c r="D77" i="26"/>
  <c r="D17" i="22"/>
  <c r="D70" i="22"/>
  <c r="O84" i="22" s="1"/>
  <c r="C10" i="23"/>
  <c r="D10" i="23"/>
  <c r="C32" i="26"/>
  <c r="R60" i="26" s="1"/>
  <c r="D31" i="26"/>
  <c r="S59" i="26" s="1"/>
  <c r="W25" i="22"/>
  <c r="V25" i="22"/>
  <c r="W24" i="22"/>
  <c r="I25" i="10"/>
  <c r="B17" i="9"/>
  <c r="B13" i="9"/>
  <c r="J13" i="9"/>
  <c r="D13" i="9"/>
  <c r="P58" i="21"/>
  <c r="G48" i="22"/>
  <c r="O49" i="22"/>
  <c r="S35" i="22"/>
  <c r="AD49" i="22" s="1"/>
  <c r="F49" i="22"/>
  <c r="N35" i="22"/>
  <c r="N36" i="22" s="1"/>
  <c r="F36" i="22"/>
  <c r="Q35" i="22"/>
  <c r="U36" i="22" s="1"/>
  <c r="G34" i="21"/>
  <c r="G7" i="21"/>
  <c r="J24" i="10" a="1"/>
  <c r="G9" i="10" a="1"/>
  <c r="G19" i="10" a="1"/>
  <c r="A8" i="22" a="1"/>
  <c r="K46" i="21"/>
  <c r="K20" i="21"/>
  <c r="U35" i="21"/>
  <c r="R35" i="22"/>
  <c r="K48" i="22"/>
  <c r="C17" i="22"/>
  <c r="W13" i="22"/>
  <c r="O7" i="21"/>
  <c r="F8" i="21"/>
  <c r="W25" i="26" l="1"/>
  <c r="AA19" i="26"/>
  <c r="Y20" i="26"/>
  <c r="L13" i="9"/>
  <c r="X61" i="26"/>
  <c r="X60" i="26"/>
  <c r="K14" i="22"/>
  <c r="J16" i="23"/>
  <c r="J17" i="23" s="1"/>
  <c r="J15" i="23"/>
  <c r="O26" i="23"/>
  <c r="K18" i="17"/>
  <c r="L17" i="17" s="1"/>
  <c r="M17" i="17" s="1"/>
  <c r="D89" i="26"/>
  <c r="D33" i="26" s="1"/>
  <c r="S61" i="26" s="1"/>
  <c r="C89" i="26"/>
  <c r="C33" i="26" s="1"/>
  <c r="E90" i="26"/>
  <c r="S25" i="26"/>
  <c r="J14" i="9"/>
  <c r="F84" i="22"/>
  <c r="F71" i="22"/>
  <c r="F37" i="23"/>
  <c r="F49" i="12" s="1"/>
  <c r="F41" i="23"/>
  <c r="F53" i="12" s="1"/>
  <c r="F15" i="23"/>
  <c r="F27" i="12" s="1"/>
  <c r="F19" i="23"/>
  <c r="F31" i="12" s="1"/>
  <c r="F23" i="23"/>
  <c r="F35" i="12" s="1"/>
  <c r="F27" i="23"/>
  <c r="F39" i="12" s="1"/>
  <c r="F31" i="23"/>
  <c r="F43" i="12" s="1"/>
  <c r="F35" i="23"/>
  <c r="F47" i="12" s="1"/>
  <c r="F39" i="23"/>
  <c r="F51" i="12" s="1"/>
  <c r="F43" i="23"/>
  <c r="F55" i="12" s="1"/>
  <c r="F21" i="23"/>
  <c r="F33" i="12" s="1"/>
  <c r="F33" i="23"/>
  <c r="F45" i="12" s="1"/>
  <c r="F40" i="23"/>
  <c r="F52" i="12" s="1"/>
  <c r="F14" i="23"/>
  <c r="F26" i="12" s="1"/>
  <c r="F18" i="23"/>
  <c r="F30" i="12" s="1"/>
  <c r="F22" i="23"/>
  <c r="F34" i="12" s="1"/>
  <c r="F26" i="23"/>
  <c r="F38" i="12" s="1"/>
  <c r="F30" i="23"/>
  <c r="F42" i="12" s="1"/>
  <c r="F34" i="23"/>
  <c r="F46" i="12" s="1"/>
  <c r="F17" i="23"/>
  <c r="F29" i="12" s="1"/>
  <c r="F25" i="23"/>
  <c r="F37" i="12" s="1"/>
  <c r="F29" i="23"/>
  <c r="F41" i="12" s="1"/>
  <c r="F38" i="23"/>
  <c r="F50" i="12" s="1"/>
  <c r="F42" i="23"/>
  <c r="F54" i="12" s="1"/>
  <c r="F16" i="23"/>
  <c r="F28" i="12" s="1"/>
  <c r="F20" i="23"/>
  <c r="F32" i="12" s="1"/>
  <c r="F24" i="23"/>
  <c r="F36" i="12" s="1"/>
  <c r="F28" i="23"/>
  <c r="F40" i="12" s="1"/>
  <c r="F32" i="23"/>
  <c r="F44" i="12" s="1"/>
  <c r="F36" i="23"/>
  <c r="F48" i="12" s="1"/>
  <c r="F13" i="23"/>
  <c r="E31" i="26"/>
  <c r="B31" i="26" s="1"/>
  <c r="T59" i="26" s="1"/>
  <c r="E32" i="26"/>
  <c r="B32" i="26" s="1"/>
  <c r="T60" i="26" s="1"/>
  <c r="C17" i="9"/>
  <c r="K14" i="9" s="1"/>
  <c r="I26" i="10"/>
  <c r="I24" i="10"/>
  <c r="D17" i="9"/>
  <c r="U49" i="22"/>
  <c r="V48" i="22"/>
  <c r="U36" i="21"/>
  <c r="U34" i="21"/>
  <c r="G19" i="10"/>
  <c r="G21" i="10"/>
  <c r="G20" i="10"/>
  <c r="C8" i="22"/>
  <c r="A8" i="22"/>
  <c r="B13" i="22" s="1"/>
  <c r="B8" i="22"/>
  <c r="A13" i="22" s="1"/>
  <c r="I9" i="10"/>
  <c r="G10" i="10"/>
  <c r="I10" i="10"/>
  <c r="H10" i="10"/>
  <c r="H9" i="10"/>
  <c r="G9" i="10"/>
  <c r="G11" i="10"/>
  <c r="H11" i="10"/>
  <c r="I11" i="10"/>
  <c r="O8" i="21"/>
  <c r="W38" i="21"/>
  <c r="Z48" i="22"/>
  <c r="V35" i="22"/>
  <c r="J26" i="10"/>
  <c r="J24" i="10"/>
  <c r="J25" i="10"/>
  <c r="J22" i="23" l="1"/>
  <c r="J23" i="23" s="1"/>
  <c r="J38" i="23"/>
  <c r="M38" i="23"/>
  <c r="L39" i="23" s="1"/>
  <c r="Z20" i="26"/>
  <c r="X20" i="26"/>
  <c r="I10" i="9"/>
  <c r="N26" i="23"/>
  <c r="G48" i="12"/>
  <c r="J48" i="12"/>
  <c r="M48" i="12"/>
  <c r="L48" i="12"/>
  <c r="I48" i="12"/>
  <c r="G41" i="12"/>
  <c r="L41" i="12"/>
  <c r="J41" i="12"/>
  <c r="M41" i="12"/>
  <c r="I41" i="12"/>
  <c r="G26" i="12"/>
  <c r="J26" i="12"/>
  <c r="L26" i="12"/>
  <c r="M26" i="12"/>
  <c r="I26" i="12"/>
  <c r="G39" i="12"/>
  <c r="L39" i="12"/>
  <c r="J39" i="12"/>
  <c r="I39" i="12"/>
  <c r="M39" i="12"/>
  <c r="G53" i="12"/>
  <c r="L53" i="12"/>
  <c r="J53" i="12"/>
  <c r="M53" i="12"/>
  <c r="I53" i="12"/>
  <c r="G44" i="12"/>
  <c r="J44" i="12"/>
  <c r="M44" i="12"/>
  <c r="I44" i="12"/>
  <c r="L44" i="12"/>
  <c r="G28" i="12"/>
  <c r="J28" i="12"/>
  <c r="M28" i="12"/>
  <c r="I28" i="12"/>
  <c r="L28" i="12"/>
  <c r="G37" i="12"/>
  <c r="I37" i="12"/>
  <c r="M37" i="12"/>
  <c r="L37" i="12"/>
  <c r="J37" i="12"/>
  <c r="G38" i="12"/>
  <c r="I38" i="12"/>
  <c r="J38" i="12"/>
  <c r="L38" i="12"/>
  <c r="M38" i="12"/>
  <c r="G52" i="12"/>
  <c r="L52" i="12"/>
  <c r="M52" i="12"/>
  <c r="I52" i="12"/>
  <c r="J52" i="12"/>
  <c r="G51" i="12"/>
  <c r="L51" i="12"/>
  <c r="I51" i="12"/>
  <c r="M51" i="12"/>
  <c r="J51" i="12"/>
  <c r="G35" i="12"/>
  <c r="I35" i="12"/>
  <c r="J35" i="12"/>
  <c r="M35" i="12"/>
  <c r="L35" i="12"/>
  <c r="G49" i="12"/>
  <c r="M49" i="12"/>
  <c r="L49" i="12"/>
  <c r="I49" i="12"/>
  <c r="J49" i="12"/>
  <c r="G32" i="12"/>
  <c r="I32" i="12"/>
  <c r="L32" i="12"/>
  <c r="J32" i="12"/>
  <c r="M32" i="12"/>
  <c r="G42" i="12"/>
  <c r="L42" i="12"/>
  <c r="J42" i="12"/>
  <c r="M42" i="12"/>
  <c r="I42" i="12"/>
  <c r="G55" i="12"/>
  <c r="M55" i="12"/>
  <c r="I55" i="12"/>
  <c r="J55" i="12"/>
  <c r="L55" i="12"/>
  <c r="G40" i="12"/>
  <c r="L40" i="12"/>
  <c r="M40" i="12"/>
  <c r="J40" i="12"/>
  <c r="I40" i="12"/>
  <c r="G54" i="12"/>
  <c r="J54" i="12"/>
  <c r="I54" i="12"/>
  <c r="M54" i="12"/>
  <c r="L54" i="12"/>
  <c r="G29" i="12"/>
  <c r="M29" i="12"/>
  <c r="L29" i="12"/>
  <c r="J29" i="12"/>
  <c r="I29" i="12"/>
  <c r="G34" i="12"/>
  <c r="L34" i="12"/>
  <c r="I34" i="12"/>
  <c r="J34" i="12"/>
  <c r="M34" i="12"/>
  <c r="G45" i="12"/>
  <c r="I45" i="12"/>
  <c r="M45" i="12"/>
  <c r="L45" i="12"/>
  <c r="J45" i="12"/>
  <c r="G47" i="12"/>
  <c r="J47" i="12"/>
  <c r="L47" i="12"/>
  <c r="M47" i="12"/>
  <c r="I47" i="12"/>
  <c r="G31" i="12"/>
  <c r="I31" i="12"/>
  <c r="L31" i="12"/>
  <c r="J31" i="12"/>
  <c r="M31" i="12"/>
  <c r="F25" i="12"/>
  <c r="N27" i="23"/>
  <c r="G36" i="12"/>
  <c r="J36" i="12"/>
  <c r="M36" i="12"/>
  <c r="I36" i="12"/>
  <c r="L36" i="12"/>
  <c r="G50" i="12"/>
  <c r="I50" i="12"/>
  <c r="L50" i="12"/>
  <c r="J50" i="12"/>
  <c r="M50" i="12"/>
  <c r="G46" i="12"/>
  <c r="M46" i="12"/>
  <c r="I46" i="12"/>
  <c r="L46" i="12"/>
  <c r="J46" i="12"/>
  <c r="G30" i="12"/>
  <c r="I30" i="12"/>
  <c r="M30" i="12"/>
  <c r="L30" i="12"/>
  <c r="J30" i="12"/>
  <c r="G33" i="12"/>
  <c r="L33" i="12"/>
  <c r="J33" i="12"/>
  <c r="I33" i="12"/>
  <c r="M33" i="12"/>
  <c r="G43" i="12"/>
  <c r="J43" i="12"/>
  <c r="I43" i="12"/>
  <c r="M43" i="12"/>
  <c r="L43" i="12"/>
  <c r="G27" i="12"/>
  <c r="J27" i="12"/>
  <c r="I27" i="12"/>
  <c r="M27" i="12"/>
  <c r="L27" i="12"/>
  <c r="R61" i="26"/>
  <c r="E33" i="26"/>
  <c r="B33" i="26" s="1"/>
  <c r="T61" i="26" s="1"/>
  <c r="O27" i="23"/>
  <c r="N25" i="23"/>
  <c r="C90" i="26"/>
  <c r="C34" i="26" s="1"/>
  <c r="E91" i="26"/>
  <c r="D90" i="26"/>
  <c r="D34" i="26" s="1"/>
  <c r="S62" i="26" s="1"/>
  <c r="J24" i="23"/>
  <c r="J32" i="23" s="1"/>
  <c r="I11" i="17" s="1"/>
  <c r="J11" i="17" s="1"/>
  <c r="F39" i="9"/>
  <c r="F30" i="9"/>
  <c r="F45" i="9"/>
  <c r="F37" i="9"/>
  <c r="F29" i="9"/>
  <c r="F21" i="9"/>
  <c r="F44" i="9"/>
  <c r="F36" i="9"/>
  <c r="F28" i="9"/>
  <c r="F20" i="9"/>
  <c r="F43" i="9"/>
  <c r="F35" i="9"/>
  <c r="F27" i="9"/>
  <c r="F50" i="9"/>
  <c r="F42" i="9"/>
  <c r="F34" i="9"/>
  <c r="F26" i="9"/>
  <c r="F47" i="9"/>
  <c r="F31" i="9"/>
  <c r="F23" i="9"/>
  <c r="F46" i="9"/>
  <c r="F38" i="9"/>
  <c r="F22" i="9"/>
  <c r="F49" i="9"/>
  <c r="F41" i="9"/>
  <c r="F33" i="9"/>
  <c r="F25" i="9"/>
  <c r="F48" i="9"/>
  <c r="F40" i="9"/>
  <c r="F32" i="9"/>
  <c r="F24" i="9"/>
  <c r="L14" i="9"/>
  <c r="G14" i="10" a="1"/>
  <c r="H16" i="10" s="1"/>
  <c r="C13" i="22"/>
  <c r="Q10" i="22"/>
  <c r="R10" i="22"/>
  <c r="T26" i="26" l="1"/>
  <c r="R26" i="26"/>
  <c r="S26" i="26"/>
  <c r="R24" i="26"/>
  <c r="S24" i="26"/>
  <c r="T24" i="26"/>
  <c r="AA20" i="26"/>
  <c r="R25" i="26"/>
  <c r="T25" i="26"/>
  <c r="J25" i="23"/>
  <c r="J26" i="23" s="1"/>
  <c r="G25" i="12"/>
  <c r="B12" i="12" s="1"/>
  <c r="C13" i="12" s="1"/>
  <c r="M25" i="12"/>
  <c r="I25" i="12"/>
  <c r="L25" i="12"/>
  <c r="J25" i="12"/>
  <c r="E34" i="26"/>
  <c r="B34" i="26" s="1"/>
  <c r="T62" i="26" s="1"/>
  <c r="R62" i="26"/>
  <c r="C91" i="26"/>
  <c r="C35" i="26" s="1"/>
  <c r="D91" i="26"/>
  <c r="D35" i="26" s="1"/>
  <c r="S63" i="26" s="1"/>
  <c r="E92" i="26"/>
  <c r="O25" i="23"/>
  <c r="J31" i="23"/>
  <c r="K32" i="23" s="1"/>
  <c r="H15" i="10"/>
  <c r="I15" i="10"/>
  <c r="G15" i="10"/>
  <c r="G14" i="10"/>
  <c r="I14" i="10"/>
  <c r="H14" i="10"/>
  <c r="I16" i="10"/>
  <c r="G16" i="10"/>
  <c r="K9" i="22"/>
  <c r="J13" i="22" s="1"/>
  <c r="V17" i="22"/>
  <c r="V18" i="22" s="1"/>
  <c r="W9" i="22"/>
  <c r="Q11" i="22"/>
  <c r="T10" i="22"/>
  <c r="J37" i="23" l="1"/>
  <c r="J39" i="23" s="1"/>
  <c r="R88" i="26" a="1"/>
  <c r="R87" i="26" a="1"/>
  <c r="R89" i="26" a="1"/>
  <c r="R89" i="26" s="1"/>
  <c r="S33" i="26" s="1"/>
  <c r="J30" i="23"/>
  <c r="N24" i="23" a="1"/>
  <c r="N24" i="23" s="1"/>
  <c r="O24" i="23" a="1"/>
  <c r="O24" i="23" s="1"/>
  <c r="J29" i="23" a="1"/>
  <c r="J29" i="23" s="1"/>
  <c r="P24" i="23" a="1"/>
  <c r="P24" i="23" s="1"/>
  <c r="J28" i="23" a="1"/>
  <c r="J28" i="23" s="1"/>
  <c r="J27" i="23" a="1"/>
  <c r="J27" i="23" s="1"/>
  <c r="R90" i="26" a="1"/>
  <c r="S90" i="26" s="1"/>
  <c r="T34" i="26" s="1"/>
  <c r="E93" i="26"/>
  <c r="D92" i="26"/>
  <c r="D36" i="26" s="1"/>
  <c r="S64" i="26" s="1"/>
  <c r="C92" i="26"/>
  <c r="C36" i="26" s="1"/>
  <c r="R63" i="26"/>
  <c r="E35" i="26"/>
  <c r="B35" i="26" s="1"/>
  <c r="T63" i="26" s="1"/>
  <c r="H24" i="10" a="1"/>
  <c r="H24" i="10" s="1"/>
  <c r="M9" i="10" a="1"/>
  <c r="M24" i="10" s="1"/>
  <c r="I13" i="22"/>
  <c r="X13" i="22"/>
  <c r="V19" i="22"/>
  <c r="V20" i="22"/>
  <c r="H13" i="22"/>
  <c r="T89" i="26" l="1"/>
  <c r="R33" i="26" s="1"/>
  <c r="S89" i="26"/>
  <c r="T33" i="26" s="1"/>
  <c r="T87" i="26"/>
  <c r="R31" i="26" s="1"/>
  <c r="S87" i="26"/>
  <c r="T31" i="26" s="1"/>
  <c r="R87" i="26"/>
  <c r="S31" i="26" s="1"/>
  <c r="T88" i="26"/>
  <c r="R32" i="26" s="1"/>
  <c r="S88" i="26"/>
  <c r="T32" i="26" s="1"/>
  <c r="R88" i="26"/>
  <c r="S32" i="26" s="1"/>
  <c r="R91" i="26" a="1"/>
  <c r="T91" i="26" s="1"/>
  <c r="R35" i="26" s="1"/>
  <c r="R90" i="26"/>
  <c r="S34" i="26" s="1"/>
  <c r="T90" i="26"/>
  <c r="R34" i="26" s="1"/>
  <c r="R64" i="26"/>
  <c r="E36" i="26"/>
  <c r="B36" i="26" s="1"/>
  <c r="T64" i="26" s="1"/>
  <c r="C93" i="26"/>
  <c r="C37" i="26" s="1"/>
  <c r="E94" i="26"/>
  <c r="D93" i="26"/>
  <c r="D37" i="26" s="1"/>
  <c r="S65" i="26" s="1"/>
  <c r="H25" i="10"/>
  <c r="H26" i="10"/>
  <c r="M34" i="10"/>
  <c r="M11" i="10"/>
  <c r="M35" i="10"/>
  <c r="M33" i="10"/>
  <c r="M23" i="10"/>
  <c r="M21" i="10"/>
  <c r="M36" i="10"/>
  <c r="M20" i="10"/>
  <c r="M27" i="10"/>
  <c r="M38" i="10"/>
  <c r="M30" i="10"/>
  <c r="M18" i="10"/>
  <c r="M15" i="10"/>
  <c r="M17" i="10"/>
  <c r="M32" i="10"/>
  <c r="M16" i="10"/>
  <c r="M19" i="10"/>
  <c r="M26" i="10"/>
  <c r="M22" i="10"/>
  <c r="M37" i="10"/>
  <c r="M29" i="10"/>
  <c r="M13" i="10"/>
  <c r="M28" i="10"/>
  <c r="M12" i="10"/>
  <c r="M39" i="10"/>
  <c r="M10" i="10"/>
  <c r="M14" i="10"/>
  <c r="M31" i="10"/>
  <c r="M25" i="10"/>
  <c r="M9" i="10"/>
  <c r="Z13" i="22"/>
  <c r="K13" i="22"/>
  <c r="H15" i="22" a="1"/>
  <c r="N14" i="22"/>
  <c r="L9" i="10" l="1" a="1"/>
  <c r="L36" i="10" s="1"/>
  <c r="R92" i="26" a="1"/>
  <c r="S92" i="26" s="1"/>
  <c r="T36" i="26" s="1"/>
  <c r="R91" i="26"/>
  <c r="S35" i="26" s="1"/>
  <c r="S91" i="26"/>
  <c r="T35" i="26" s="1"/>
  <c r="C94" i="26"/>
  <c r="C38" i="26" s="1"/>
  <c r="E95" i="26"/>
  <c r="D94" i="26"/>
  <c r="D38" i="26" s="1"/>
  <c r="S66" i="26" s="1"/>
  <c r="R65" i="26"/>
  <c r="E37" i="26"/>
  <c r="B37" i="26" s="1"/>
  <c r="T65" i="26" s="1"/>
  <c r="J15" i="22"/>
  <c r="I15" i="22"/>
  <c r="H15" i="22"/>
  <c r="Y14" i="22"/>
  <c r="W14" i="22"/>
  <c r="X14" i="22"/>
  <c r="L18" i="10"/>
  <c r="L25" i="10" l="1"/>
  <c r="L39" i="10"/>
  <c r="L16" i="10"/>
  <c r="L14" i="10"/>
  <c r="L32" i="10"/>
  <c r="L35" i="10"/>
  <c r="L13" i="10"/>
  <c r="L27" i="10"/>
  <c r="L38" i="10"/>
  <c r="L34" i="10"/>
  <c r="L31" i="10"/>
  <c r="L37" i="10"/>
  <c r="L21" i="10"/>
  <c r="L28" i="10"/>
  <c r="L12" i="10"/>
  <c r="L19" i="10"/>
  <c r="L30" i="10"/>
  <c r="L26" i="10"/>
  <c r="L23" i="10"/>
  <c r="L33" i="10"/>
  <c r="L17" i="10"/>
  <c r="L24" i="10"/>
  <c r="L11" i="10"/>
  <c r="L22" i="10"/>
  <c r="L10" i="10"/>
  <c r="L15" i="10"/>
  <c r="L29" i="10"/>
  <c r="L9" i="10"/>
  <c r="L20" i="10"/>
  <c r="R92" i="26"/>
  <c r="S36" i="26" s="1"/>
  <c r="T92" i="26"/>
  <c r="R36" i="26" s="1"/>
  <c r="R93" i="26" a="1"/>
  <c r="T93" i="26" s="1"/>
  <c r="R37" i="26" s="1"/>
  <c r="R66" i="26"/>
  <c r="E38" i="26"/>
  <c r="B38" i="26" s="1"/>
  <c r="T66" i="26" s="1"/>
  <c r="D95" i="26"/>
  <c r="D39" i="26" s="1"/>
  <c r="S67" i="26" s="1"/>
  <c r="C95" i="26"/>
  <c r="C39" i="26" s="1"/>
  <c r="E96" i="26"/>
  <c r="Q20" i="22"/>
  <c r="R20" i="22"/>
  <c r="S20" i="22"/>
  <c r="G20" i="22"/>
  <c r="I18" i="22"/>
  <c r="Q19" i="22"/>
  <c r="S19" i="22"/>
  <c r="R19" i="22"/>
  <c r="H20" i="22"/>
  <c r="K15" i="22"/>
  <c r="N13" i="22" s="1"/>
  <c r="N15" i="22" s="1"/>
  <c r="I19" i="22"/>
  <c r="Z14" i="22"/>
  <c r="S18" i="22"/>
  <c r="R18" i="22"/>
  <c r="Q18" i="22"/>
  <c r="G19" i="22"/>
  <c r="H18" i="22"/>
  <c r="S93" i="26" l="1"/>
  <c r="T37" i="26" s="1"/>
  <c r="R93" i="26"/>
  <c r="S37" i="26" s="1"/>
  <c r="R67" i="26"/>
  <c r="E39" i="26"/>
  <c r="B39" i="26" s="1"/>
  <c r="T67" i="26" s="1"/>
  <c r="D96" i="26"/>
  <c r="D40" i="26" s="1"/>
  <c r="S68" i="26" s="1"/>
  <c r="E97" i="26"/>
  <c r="C96" i="26"/>
  <c r="C40" i="26" s="1"/>
  <c r="R94" i="26" a="1"/>
  <c r="K18" i="22" a="1"/>
  <c r="T94" i="26" l="1"/>
  <c r="R38" i="26" s="1"/>
  <c r="S94" i="26"/>
  <c r="T38" i="26" s="1"/>
  <c r="R94" i="26"/>
  <c r="S38" i="26" s="1"/>
  <c r="R68" i="26"/>
  <c r="E40" i="26"/>
  <c r="B40" i="26" s="1"/>
  <c r="T68" i="26" s="1"/>
  <c r="R95" i="26" a="1"/>
  <c r="C97" i="26"/>
  <c r="C41" i="26" s="1"/>
  <c r="D97" i="26"/>
  <c r="D41" i="26" s="1"/>
  <c r="S69" i="26" s="1"/>
  <c r="E98" i="26"/>
  <c r="M18" i="22"/>
  <c r="M23" i="22" s="1"/>
  <c r="I23" i="22" s="1"/>
  <c r="M19" i="22"/>
  <c r="M24" i="22" s="1"/>
  <c r="I24" i="22" s="1"/>
  <c r="M20" i="22"/>
  <c r="M25" i="22" s="1"/>
  <c r="I25" i="22" s="1"/>
  <c r="K20" i="22"/>
  <c r="K25" i="22" s="1"/>
  <c r="G25" i="22" s="1"/>
  <c r="L18" i="22"/>
  <c r="L23" i="22" s="1"/>
  <c r="H23" i="22" s="1"/>
  <c r="L19" i="22"/>
  <c r="L24" i="22" s="1"/>
  <c r="H24" i="22" s="1"/>
  <c r="L20" i="22"/>
  <c r="L25" i="22" s="1"/>
  <c r="H25" i="22" s="1"/>
  <c r="K19" i="22"/>
  <c r="K24" i="22" s="1"/>
  <c r="G24" i="22" s="1"/>
  <c r="K18" i="22"/>
  <c r="K23" i="22" s="1"/>
  <c r="G23" i="22" s="1"/>
  <c r="R69" i="26" l="1"/>
  <c r="E41" i="26"/>
  <c r="B41" i="26" s="1"/>
  <c r="T69" i="26" s="1"/>
  <c r="T95" i="26"/>
  <c r="R39" i="26" s="1"/>
  <c r="S95" i="26"/>
  <c r="T39" i="26" s="1"/>
  <c r="R95" i="26"/>
  <c r="S39" i="26" s="1"/>
  <c r="E99" i="26"/>
  <c r="D98" i="26"/>
  <c r="D42" i="26" s="1"/>
  <c r="S70" i="26" s="1"/>
  <c r="C98" i="26"/>
  <c r="C42" i="26" s="1"/>
  <c r="R96" i="26" a="1"/>
  <c r="G28" i="22" a="1"/>
  <c r="Q24" i="22" a="1"/>
  <c r="R97" i="26" l="1" a="1"/>
  <c r="R97" i="26" s="1"/>
  <c r="S41" i="26" s="1"/>
  <c r="D99" i="26"/>
  <c r="D43" i="26" s="1"/>
  <c r="S71" i="26" s="1"/>
  <c r="C99" i="26"/>
  <c r="C43" i="26" s="1"/>
  <c r="E100" i="26"/>
  <c r="R96" i="26"/>
  <c r="S40" i="26" s="1"/>
  <c r="T96" i="26"/>
  <c r="R40" i="26" s="1"/>
  <c r="S96" i="26"/>
  <c r="T40" i="26" s="1"/>
  <c r="R70" i="26"/>
  <c r="E42" i="26"/>
  <c r="B42" i="26" s="1"/>
  <c r="T70" i="26" s="1"/>
  <c r="Q24" i="22"/>
  <c r="R25" i="22"/>
  <c r="S26" i="22"/>
  <c r="R24" i="22"/>
  <c r="Q26" i="22"/>
  <c r="S25" i="22"/>
  <c r="R26" i="22"/>
  <c r="Q25" i="22"/>
  <c r="S24" i="22"/>
  <c r="G29" i="22"/>
  <c r="H29" i="22" s="1"/>
  <c r="G28" i="22"/>
  <c r="H28" i="22" s="1"/>
  <c r="G30" i="22"/>
  <c r="H30" i="22" s="1"/>
  <c r="T97" i="26" l="1"/>
  <c r="R41" i="26" s="1"/>
  <c r="R98" i="26" a="1"/>
  <c r="R98" i="26" s="1"/>
  <c r="S42" i="26" s="1"/>
  <c r="S97" i="26"/>
  <c r="T41" i="26" s="1"/>
  <c r="R71" i="26"/>
  <c r="E43" i="26"/>
  <c r="B43" i="26" s="1"/>
  <c r="T71" i="26" s="1"/>
  <c r="E101" i="26"/>
  <c r="D100" i="26"/>
  <c r="D44" i="26" s="1"/>
  <c r="S72" i="26" s="1"/>
  <c r="C100" i="26"/>
  <c r="C44" i="26" s="1"/>
  <c r="Q130" i="22" a="1"/>
  <c r="Q120" i="22" a="1"/>
  <c r="Q109" i="22" a="1"/>
  <c r="Q122" i="22" a="1"/>
  <c r="Q121" i="22" a="1"/>
  <c r="Q112" i="22" a="1"/>
  <c r="Q108" i="22" a="1"/>
  <c r="Q107" i="22" a="1"/>
  <c r="Q105" i="22" a="1"/>
  <c r="Q119" i="22" a="1"/>
  <c r="Q110" i="22" a="1"/>
  <c r="Q128" i="22" a="1"/>
  <c r="Q132" i="22" a="1"/>
  <c r="Q129" i="22" a="1"/>
  <c r="Q135" i="22" a="1"/>
  <c r="Q116" i="22" a="1"/>
  <c r="Q125" i="22" a="1"/>
  <c r="Q123" i="22" a="1"/>
  <c r="Q117" i="22" a="1"/>
  <c r="Q134" i="22" a="1"/>
  <c r="Q111" i="22" a="1"/>
  <c r="Q118" i="22" a="1"/>
  <c r="Q113" i="22" a="1"/>
  <c r="Q131" i="22" a="1"/>
  <c r="Q106" i="22" a="1"/>
  <c r="Q124" i="22" a="1"/>
  <c r="Q114" i="22" a="1"/>
  <c r="Q127" i="22" a="1"/>
  <c r="Q115" i="22" a="1"/>
  <c r="Q126" i="22" a="1"/>
  <c r="Q133" i="22" a="1"/>
  <c r="R99" i="26" l="1" a="1"/>
  <c r="S99" i="26" s="1"/>
  <c r="T43" i="26" s="1"/>
  <c r="S98" i="26"/>
  <c r="T42" i="26" s="1"/>
  <c r="T98" i="26"/>
  <c r="R42" i="26" s="1"/>
  <c r="R72" i="26"/>
  <c r="E44" i="26"/>
  <c r="B44" i="26" s="1"/>
  <c r="T72" i="26" s="1"/>
  <c r="D101" i="26"/>
  <c r="D45" i="26" s="1"/>
  <c r="S73" i="26" s="1"/>
  <c r="C101" i="26"/>
  <c r="C45" i="26" s="1"/>
  <c r="E102" i="26"/>
  <c r="S131" i="22"/>
  <c r="Q62" i="22" s="1"/>
  <c r="R131" i="22"/>
  <c r="S62" i="22" s="1"/>
  <c r="Q131" i="22"/>
  <c r="S116" i="22"/>
  <c r="Q47" i="22" s="1"/>
  <c r="R116" i="22"/>
  <c r="S47" i="22" s="1"/>
  <c r="Q116" i="22"/>
  <c r="S128" i="22"/>
  <c r="Q59" i="22" s="1"/>
  <c r="Q128" i="22"/>
  <c r="R128" i="22"/>
  <c r="S59" i="22" s="1"/>
  <c r="Q122" i="22"/>
  <c r="S122" i="22"/>
  <c r="Q53" i="22" s="1"/>
  <c r="R122" i="22"/>
  <c r="S53" i="22" s="1"/>
  <c r="S113" i="22"/>
  <c r="Q44" i="22" s="1"/>
  <c r="R113" i="22"/>
  <c r="S44" i="22" s="1"/>
  <c r="Q113" i="22"/>
  <c r="Q135" i="22"/>
  <c r="S135" i="22"/>
  <c r="Q66" i="22" s="1"/>
  <c r="R135" i="22"/>
  <c r="S66" i="22" s="1"/>
  <c r="Q110" i="22"/>
  <c r="S110" i="22"/>
  <c r="Q41" i="22" s="1"/>
  <c r="R110" i="22"/>
  <c r="S41" i="22" s="1"/>
  <c r="R109" i="22"/>
  <c r="S40" i="22" s="1"/>
  <c r="S109" i="22"/>
  <c r="Q40" i="22" s="1"/>
  <c r="Q109" i="22"/>
  <c r="Q124" i="22"/>
  <c r="S124" i="22"/>
  <c r="Q55" i="22" s="1"/>
  <c r="R124" i="22"/>
  <c r="S55" i="22" s="1"/>
  <c r="Q118" i="22"/>
  <c r="R118" i="22"/>
  <c r="S49" i="22" s="1"/>
  <c r="S118" i="22"/>
  <c r="Q49" i="22" s="1"/>
  <c r="Q123" i="22"/>
  <c r="R123" i="22"/>
  <c r="S54" i="22" s="1"/>
  <c r="S123" i="22"/>
  <c r="Q54" i="22" s="1"/>
  <c r="Q129" i="22"/>
  <c r="R129" i="22"/>
  <c r="S60" i="22" s="1"/>
  <c r="S129" i="22"/>
  <c r="Q60" i="22" s="1"/>
  <c r="S119" i="22"/>
  <c r="Q50" i="22" s="1"/>
  <c r="R119" i="22"/>
  <c r="S50" i="22" s="1"/>
  <c r="Q119" i="22"/>
  <c r="Q112" i="22"/>
  <c r="R112" i="22"/>
  <c r="S43" i="22" s="1"/>
  <c r="S112" i="22"/>
  <c r="Q43" i="22" s="1"/>
  <c r="S120" i="22"/>
  <c r="Q51" i="22" s="1"/>
  <c r="R120" i="22"/>
  <c r="S51" i="22" s="1"/>
  <c r="Q120" i="22"/>
  <c r="Q127" i="22"/>
  <c r="R127" i="22"/>
  <c r="S58" i="22" s="1"/>
  <c r="S127" i="22"/>
  <c r="Q58" i="22" s="1"/>
  <c r="S134" i="22"/>
  <c r="Q65" i="22" s="1"/>
  <c r="Q134" i="22"/>
  <c r="R134" i="22"/>
  <c r="S65" i="22" s="1"/>
  <c r="R107" i="22"/>
  <c r="S38" i="22" s="1"/>
  <c r="Q107" i="22"/>
  <c r="S107" i="22"/>
  <c r="Q38" i="22" s="1"/>
  <c r="Q133" i="22"/>
  <c r="S133" i="22"/>
  <c r="Q64" i="22" s="1"/>
  <c r="R133" i="22"/>
  <c r="S64" i="22" s="1"/>
  <c r="S114" i="22"/>
  <c r="Q45" i="22" s="1"/>
  <c r="R114" i="22"/>
  <c r="S45" i="22" s="1"/>
  <c r="Q114" i="22"/>
  <c r="R117" i="22"/>
  <c r="S48" i="22" s="1"/>
  <c r="S117" i="22"/>
  <c r="Q48" i="22" s="1"/>
  <c r="Q117" i="22"/>
  <c r="S108" i="22"/>
  <c r="Q39" i="22" s="1"/>
  <c r="Q108" i="22"/>
  <c r="R108" i="22"/>
  <c r="S39" i="22" s="1"/>
  <c r="R126" i="22"/>
  <c r="S57" i="22" s="1"/>
  <c r="S126" i="22"/>
  <c r="Q57" i="22" s="1"/>
  <c r="Q126" i="22"/>
  <c r="S115" i="22"/>
  <c r="Q46" i="22" s="1"/>
  <c r="R115" i="22"/>
  <c r="S46" i="22" s="1"/>
  <c r="Q115" i="22"/>
  <c r="R106" i="22"/>
  <c r="S37" i="22" s="1"/>
  <c r="S106" i="22"/>
  <c r="Q37" i="22" s="1"/>
  <c r="Q106" i="22"/>
  <c r="S111" i="22"/>
  <c r="Q42" i="22" s="1"/>
  <c r="R111" i="22"/>
  <c r="S42" i="22" s="1"/>
  <c r="Q111" i="22"/>
  <c r="Q125" i="22"/>
  <c r="R125" i="22"/>
  <c r="S56" i="22" s="1"/>
  <c r="S125" i="22"/>
  <c r="Q56" i="22" s="1"/>
  <c r="Q132" i="22"/>
  <c r="R132" i="22"/>
  <c r="S63" i="22" s="1"/>
  <c r="S132" i="22"/>
  <c r="Q63" i="22" s="1"/>
  <c r="S105" i="22"/>
  <c r="Q36" i="22" s="1"/>
  <c r="Q105" i="22"/>
  <c r="R105" i="22"/>
  <c r="S36" i="22" s="1"/>
  <c r="S121" i="22"/>
  <c r="Q52" i="22" s="1"/>
  <c r="R121" i="22"/>
  <c r="S52" i="22" s="1"/>
  <c r="Q121" i="22"/>
  <c r="S130" i="22"/>
  <c r="Q61" i="22" s="1"/>
  <c r="Q130" i="22"/>
  <c r="R130" i="22"/>
  <c r="S61" i="22" s="1"/>
  <c r="T99" i="26" l="1"/>
  <c r="R43" i="26" s="1"/>
  <c r="R99" i="26"/>
  <c r="S43" i="26" s="1"/>
  <c r="R100" i="26" a="1"/>
  <c r="T100" i="26" s="1"/>
  <c r="R44" i="26" s="1"/>
  <c r="R73" i="26"/>
  <c r="E45" i="26"/>
  <c r="B45" i="26" s="1"/>
  <c r="T73" i="26" s="1"/>
  <c r="E103" i="26"/>
  <c r="D102" i="26"/>
  <c r="D46" i="26" s="1"/>
  <c r="S74" i="26" s="1"/>
  <c r="C102" i="26"/>
  <c r="C46" i="26" s="1"/>
  <c r="R61" i="22"/>
  <c r="R46" i="22"/>
  <c r="R45" i="22"/>
  <c r="R43" i="22"/>
  <c r="R56" i="22"/>
  <c r="R37" i="22"/>
  <c r="R48" i="22"/>
  <c r="R64" i="22"/>
  <c r="R54" i="22"/>
  <c r="R41" i="22"/>
  <c r="R44" i="22"/>
  <c r="R36" i="22"/>
  <c r="R42" i="22"/>
  <c r="R65" i="22"/>
  <c r="R58" i="22"/>
  <c r="R60" i="22"/>
  <c r="R53" i="22"/>
  <c r="R47" i="22"/>
  <c r="R49" i="22"/>
  <c r="R40" i="22"/>
  <c r="R66" i="22"/>
  <c r="R59" i="22"/>
  <c r="R50" i="22"/>
  <c r="R62" i="22"/>
  <c r="R52" i="22"/>
  <c r="R63" i="22"/>
  <c r="R57" i="22"/>
  <c r="R39" i="22"/>
  <c r="R38" i="22"/>
  <c r="R51" i="22"/>
  <c r="R55" i="22"/>
  <c r="R100" i="26" l="1"/>
  <c r="S44" i="26" s="1"/>
  <c r="S100" i="26"/>
  <c r="T44" i="26" s="1"/>
  <c r="R101" i="26" a="1"/>
  <c r="S101" i="26" s="1"/>
  <c r="T45" i="26" s="1"/>
  <c r="R74" i="26"/>
  <c r="E46" i="26"/>
  <c r="B46" i="26" s="1"/>
  <c r="T74" i="26" s="1"/>
  <c r="C103" i="26"/>
  <c r="C47" i="26" s="1"/>
  <c r="D103" i="26"/>
  <c r="D47" i="26" s="1"/>
  <c r="S75" i="26" s="1"/>
  <c r="E104" i="26"/>
  <c r="R101" i="26" l="1"/>
  <c r="S45" i="26" s="1"/>
  <c r="R102" i="26" a="1"/>
  <c r="R102" i="26" s="1"/>
  <c r="S46" i="26" s="1"/>
  <c r="T101" i="26"/>
  <c r="R45" i="26" s="1"/>
  <c r="E105" i="26"/>
  <c r="D104" i="26"/>
  <c r="D48" i="26" s="1"/>
  <c r="S76" i="26" s="1"/>
  <c r="C104" i="26"/>
  <c r="C48" i="26" s="1"/>
  <c r="R75" i="26"/>
  <c r="E47" i="26"/>
  <c r="B47" i="26" s="1"/>
  <c r="T75" i="26" s="1"/>
  <c r="S102" i="26" l="1"/>
  <c r="T46" i="26" s="1"/>
  <c r="T102" i="26"/>
  <c r="R46" i="26" s="1"/>
  <c r="R103" i="26" a="1"/>
  <c r="R103" i="26" s="1"/>
  <c r="S47" i="26" s="1"/>
  <c r="R76" i="26"/>
  <c r="E48" i="26"/>
  <c r="B48" i="26" s="1"/>
  <c r="T76" i="26" s="1"/>
  <c r="E106" i="26"/>
  <c r="D105" i="26"/>
  <c r="D49" i="26" s="1"/>
  <c r="S77" i="26" s="1"/>
  <c r="C105" i="26"/>
  <c r="C49" i="26" s="1"/>
  <c r="S103" i="26" l="1"/>
  <c r="T47" i="26" s="1"/>
  <c r="T103" i="26"/>
  <c r="R47" i="26" s="1"/>
  <c r="R77" i="26"/>
  <c r="E49" i="26"/>
  <c r="B49" i="26" s="1"/>
  <c r="T77" i="26" s="1"/>
  <c r="C106" i="26"/>
  <c r="C50" i="26" s="1"/>
  <c r="D106" i="26"/>
  <c r="D50" i="26" s="1"/>
  <c r="S78" i="26" s="1"/>
  <c r="E107" i="26"/>
  <c r="R104" i="26" a="1"/>
  <c r="R105" i="26" l="1" a="1"/>
  <c r="S105" i="26" s="1"/>
  <c r="T49" i="26" s="1"/>
  <c r="R104" i="26"/>
  <c r="S48" i="26" s="1"/>
  <c r="T104" i="26"/>
  <c r="R48" i="26" s="1"/>
  <c r="S104" i="26"/>
  <c r="T48" i="26" s="1"/>
  <c r="R78" i="26"/>
  <c r="E50" i="26"/>
  <c r="B50" i="26" s="1"/>
  <c r="T78" i="26" s="1"/>
  <c r="C107" i="26"/>
  <c r="C51" i="26" s="1"/>
  <c r="E108" i="26"/>
  <c r="D107" i="26"/>
  <c r="D51" i="26" s="1"/>
  <c r="S79" i="26" s="1"/>
  <c r="T105" i="26" l="1"/>
  <c r="R49" i="26" s="1"/>
  <c r="R105" i="26"/>
  <c r="S49" i="26" s="1"/>
  <c r="E109" i="26"/>
  <c r="D108" i="26"/>
  <c r="D52" i="26" s="1"/>
  <c r="S80" i="26" s="1"/>
  <c r="C108" i="26"/>
  <c r="C52" i="26" s="1"/>
  <c r="R79" i="26"/>
  <c r="E51" i="26"/>
  <c r="B51" i="26" s="1"/>
  <c r="T79" i="26" s="1"/>
  <c r="R106" i="26" a="1"/>
  <c r="T106" i="26" l="1"/>
  <c r="R50" i="26" s="1"/>
  <c r="S106" i="26"/>
  <c r="T50" i="26" s="1"/>
  <c r="R106" i="26"/>
  <c r="S50" i="26" s="1"/>
  <c r="R80" i="26"/>
  <c r="E52" i="26"/>
  <c r="B52" i="26" s="1"/>
  <c r="T80" i="26" s="1"/>
  <c r="R107" i="26" a="1"/>
  <c r="D109" i="26"/>
  <c r="D53" i="26" s="1"/>
  <c r="S81" i="26" s="1"/>
  <c r="E110" i="26"/>
  <c r="C109" i="26"/>
  <c r="C53" i="26" s="1"/>
  <c r="R108" i="26" l="1" a="1"/>
  <c r="S108" i="26" s="1"/>
  <c r="T52" i="26" s="1"/>
  <c r="C110" i="26"/>
  <c r="C54" i="26" s="1"/>
  <c r="E111" i="26"/>
  <c r="D110" i="26"/>
  <c r="D54" i="26" s="1"/>
  <c r="S82" i="26" s="1"/>
  <c r="S107" i="26"/>
  <c r="T51" i="26" s="1"/>
  <c r="R107" i="26"/>
  <c r="S51" i="26" s="1"/>
  <c r="T107" i="26"/>
  <c r="R51" i="26" s="1"/>
  <c r="R81" i="26"/>
  <c r="E53" i="26"/>
  <c r="B53" i="26" s="1"/>
  <c r="T81" i="26" s="1"/>
  <c r="R108" i="26" l="1"/>
  <c r="S52" i="26" s="1"/>
  <c r="R109" i="26" a="1"/>
  <c r="R109" i="26" s="1"/>
  <c r="S53" i="26" s="1"/>
  <c r="T108" i="26"/>
  <c r="R52" i="26" s="1"/>
  <c r="D111" i="26"/>
  <c r="D55" i="26" s="1"/>
  <c r="C111" i="26"/>
  <c r="C55" i="26" s="1"/>
  <c r="R82" i="26"/>
  <c r="E54" i="26"/>
  <c r="B54" i="26" s="1"/>
  <c r="T82" i="26" s="1"/>
  <c r="S109" i="26" l="1"/>
  <c r="T53" i="26" s="1"/>
  <c r="T109" i="26"/>
  <c r="R53" i="26" s="1"/>
  <c r="S83" i="26"/>
  <c r="R110" i="26" a="1"/>
  <c r="R83" i="26"/>
  <c r="E55" i="26"/>
  <c r="B55" i="26" s="1"/>
  <c r="T83" i="26" s="1"/>
  <c r="H22" i="26" l="1" a="1"/>
  <c r="J22" i="26" s="1"/>
  <c r="J26" i="26" s="1"/>
  <c r="J27" i="26" s="1"/>
  <c r="R110" i="26"/>
  <c r="S54" i="26" s="1"/>
  <c r="T110" i="26"/>
  <c r="R54" i="26" s="1"/>
  <c r="S110" i="26"/>
  <c r="T54" i="26" s="1"/>
  <c r="R111" i="26" a="1"/>
  <c r="I22" i="26" l="1"/>
  <c r="H26" i="26" s="1"/>
  <c r="H27" i="26" s="1"/>
  <c r="H22" i="26"/>
  <c r="I26" i="26" s="1"/>
  <c r="I27" i="26" s="1"/>
  <c r="R111" i="26"/>
  <c r="S55" i="26" s="1"/>
  <c r="T111" i="26"/>
  <c r="R55" i="26" s="1"/>
  <c r="S111" i="26"/>
  <c r="T55" i="26" s="1"/>
</calcChain>
</file>

<file path=xl/comments1.xml><?xml version="1.0" encoding="utf-8"?>
<comments xmlns="http://schemas.openxmlformats.org/spreadsheetml/2006/main">
  <authors>
    <author>Шляхов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04"/>
          </rPr>
          <t>b2</t>
        </r>
      </text>
    </comment>
  </commentList>
</comments>
</file>

<file path=xl/comments2.xml><?xml version="1.0" encoding="utf-8"?>
<comments xmlns="http://schemas.openxmlformats.org/spreadsheetml/2006/main">
  <authors>
    <author>Шляхов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b2</t>
        </r>
      </text>
    </comment>
  </commentList>
</comments>
</file>

<file path=xl/sharedStrings.xml><?xml version="1.0" encoding="utf-8"?>
<sst xmlns="http://schemas.openxmlformats.org/spreadsheetml/2006/main" count="471" uniqueCount="273">
  <si>
    <t>Перейти к статье &gt;&gt;&gt;</t>
  </si>
  <si>
    <t>Файл скачан с сайта excel2.ru &gt;&gt;&gt;</t>
  </si>
  <si>
    <t>b</t>
  </si>
  <si>
    <t>Y</t>
  </si>
  <si>
    <t>№</t>
  </si>
  <si>
    <t>a</t>
  </si>
  <si>
    <t>X'X</t>
  </si>
  <si>
    <r>
      <t>(X'X)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</si>
  <si>
    <t>X'Y</t>
  </si>
  <si>
    <r>
      <t>(X'X)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  <r>
      <rPr>
        <b/>
        <sz val="11"/>
        <color theme="1"/>
        <rFont val="Calibri"/>
        <family val="2"/>
        <charset val="204"/>
        <scheme val="minor"/>
      </rPr>
      <t>(X'Y)</t>
    </r>
  </si>
  <si>
    <t>Остатки</t>
  </si>
  <si>
    <t>SST</t>
  </si>
  <si>
    <t>Yсреднее</t>
  </si>
  <si>
    <t>n</t>
  </si>
  <si>
    <t>SSR (ssreg)</t>
  </si>
  <si>
    <t>SSE (ssresid)</t>
  </si>
  <si>
    <t>F (знач.тест.стат.)</t>
  </si>
  <si>
    <t>Аргументы функции ЛИНЕЙН()</t>
  </si>
  <si>
    <t>sey (ст.ош.регр)</t>
  </si>
  <si>
    <t>DF</t>
  </si>
  <si>
    <t>альфа</t>
  </si>
  <si>
    <t>tальфа,DF</t>
  </si>
  <si>
    <t>Отклонить Н0?</t>
  </si>
  <si>
    <t>SEy (ст.ош.регр)</t>
  </si>
  <si>
    <r>
      <t>R</t>
    </r>
    <r>
      <rPr>
        <vertAlign val="superscript"/>
        <sz val="10"/>
        <rFont val="Calibri"/>
        <family val="2"/>
        <charset val="204"/>
        <scheme val="minor"/>
      </rPr>
      <t>2</t>
    </r>
  </si>
  <si>
    <t>Доверительные интервалы для нового наблюдения Y и среднего значения</t>
  </si>
  <si>
    <t>Ст. ош. Среднего значения Y</t>
  </si>
  <si>
    <t>Ст. ош. нового наблюдения Y: S(Y|Xi)</t>
  </si>
  <si>
    <t>Доверительный интервал для нового наблюдения Y|Xi (+)</t>
  </si>
  <si>
    <t>Доверительный интервал для нового наблюдения Y|Xi (-)</t>
  </si>
  <si>
    <t>Доверительный интервал для Yср (+)</t>
  </si>
  <si>
    <t>Доверительный интервал для Yср (-)</t>
  </si>
  <si>
    <t>F0</t>
  </si>
  <si>
    <t>x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</si>
  <si>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</si>
  <si>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</si>
  <si>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</si>
  <si>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</si>
  <si>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</si>
  <si>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</si>
  <si>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</si>
  <si>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</si>
  <si>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</si>
  <si>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</si>
  <si>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</si>
  <si>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</si>
  <si>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</si>
  <si>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</si>
  <si>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</si>
  <si>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</si>
  <si>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</si>
  <si>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</si>
  <si>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</si>
  <si>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</si>
  <si>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</si>
  <si>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</si>
  <si>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ВЫВОД ОСТАТКА</t>
  </si>
  <si>
    <t>Наблюдение</t>
  </si>
  <si>
    <t>Предсказанное Y</t>
  </si>
  <si>
    <t>Стандартные остатки</t>
  </si>
  <si>
    <t>ВЫВОД ВЕРОЯТНОСТИ</t>
  </si>
  <si>
    <t>Персентиль</t>
  </si>
  <si>
    <t>Нижние 90,0%</t>
  </si>
  <si>
    <t>Верхние 90,0%</t>
  </si>
  <si>
    <t>Использование инструмента Регрессия надстройки Пакет Анализа</t>
  </si>
  <si>
    <t>Все расчеты инструмента Регрессия из Надстройки Пакет анализа приведены формулами</t>
  </si>
  <si>
    <t>Результаты расчетов инструмента Регрессия из Надстройки Пакет анализа (значения)</t>
  </si>
  <si>
    <t>Множественная регрессия в MS EXCEL</t>
  </si>
  <si>
    <t>X2 (Температура)</t>
  </si>
  <si>
    <t>Y (Прочность)</t>
  </si>
  <si>
    <t>Y прогноз1</t>
  </si>
  <si>
    <t>Y прогноз2</t>
  </si>
  <si>
    <t>Коэффициенты регрессии</t>
  </si>
  <si>
    <t>Единицы</t>
  </si>
  <si>
    <t>№Набл.</t>
  </si>
  <si>
    <t>МИН</t>
  </si>
  <si>
    <t>МАКС</t>
  </si>
  <si>
    <t>Х1</t>
  </si>
  <si>
    <t>Х2</t>
  </si>
  <si>
    <t>b0</t>
  </si>
  <si>
    <t>b1</t>
  </si>
  <si>
    <t>b2</t>
  </si>
  <si>
    <t>Матричная диаграмма рассеяния</t>
  </si>
  <si>
    <t>Сокращенный вариант матричной диаграммы рассеяния</t>
  </si>
  <si>
    <t>Число переменных</t>
  </si>
  <si>
    <t>Число диаграмм</t>
  </si>
  <si>
    <t>excel2.ru</t>
  </si>
  <si>
    <t xml:space="preserve"> Полный вариант матричной диаграммы рассеяния</t>
  </si>
  <si>
    <t>№ наблюдения</t>
  </si>
  <si>
    <t>X1 (Концентрация)</t>
  </si>
  <si>
    <t>Коэффициенты регрессии рассчитаны на основе данных таблицы с желтыми заголовками</t>
  </si>
  <si>
    <t>ЛИНЕЙН()</t>
  </si>
  <si>
    <t>Y - вектор значений зависимой переменной</t>
  </si>
  <si>
    <t>Совпадает с вычислениями на листе Прогноз</t>
  </si>
  <si>
    <r>
      <t xml:space="preserve">Н - Проекционная матрица (проецирует вектор наблюдаемых значений Y на вектор подобранных значений </t>
    </r>
    <r>
      <rPr>
        <sz val="11"/>
        <color theme="1"/>
        <rFont val="Calibri"/>
        <family val="2"/>
        <charset val="204"/>
      </rPr>
      <t>ŷ</t>
    </r>
    <r>
      <rPr>
        <sz val="11"/>
        <color theme="1"/>
        <rFont val="Calibri"/>
        <family val="2"/>
        <charset val="204"/>
        <scheme val="minor"/>
      </rPr>
      <t>). Размер матрицы nxn (25x25)</t>
    </r>
  </si>
  <si>
    <t>Х - матрица плана (наблюдения Х с доп. единичным столбцом)</t>
  </si>
  <si>
    <r>
      <t>Х' (или Х</t>
    </r>
    <r>
      <rPr>
        <vertAlign val="superscript"/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charset val="204"/>
        <scheme val="minor"/>
      </rPr>
      <t>) - транспонированная матрица Х</t>
    </r>
  </si>
  <si>
    <t>Матричная форма нахождения параметров модели и прогнозных значений Y</t>
  </si>
  <si>
    <t>ТЕНДЕНЦИЯ()</t>
  </si>
  <si>
    <r>
      <t>b -</t>
    </r>
    <r>
      <rPr>
        <sz val="11"/>
        <color theme="1"/>
        <rFont val="Calibri"/>
        <family val="2"/>
        <charset val="204"/>
        <scheme val="minor"/>
      </rPr>
      <t>вектор коэффициентов регрессии (искомый результат)</t>
    </r>
  </si>
  <si>
    <t>Через Н матрицу (Hat martix, проекционная матрица)</t>
  </si>
  <si>
    <t>Алгоритм генерации тренда в случае 2-х регрессоров: Х1 и Х2</t>
  </si>
  <si>
    <t>1.</t>
  </si>
  <si>
    <t>2.</t>
  </si>
  <si>
    <t>3.</t>
  </si>
  <si>
    <t>Задаем тренд (плоскость регрессии) через задание коэффициентов регрессии b1, b2, b0</t>
  </si>
  <si>
    <t>Для случайного разброса значений Х1;Х2 в заданных границах</t>
  </si>
  <si>
    <t>Стандартное отклонение Y</t>
  </si>
  <si>
    <t>Ax+By+Cz+D=0</t>
  </si>
  <si>
    <t>A=b1</t>
  </si>
  <si>
    <t>B=b2</t>
  </si>
  <si>
    <t>C=-1</t>
  </si>
  <si>
    <t>D=b0</t>
  </si>
  <si>
    <t>A</t>
  </si>
  <si>
    <t>B</t>
  </si>
  <si>
    <t>C</t>
  </si>
  <si>
    <t>D</t>
  </si>
  <si>
    <t>Уравнение плоскости 0xy (Z=0)</t>
  </si>
  <si>
    <t>Ось пересечения плоскости XY и Z=0 (ось вращения)</t>
  </si>
  <si>
    <t>y=</t>
  </si>
  <si>
    <t>*x</t>
  </si>
  <si>
    <t>http://ru.onlinemschool.com/math/library/analytic_geometry/line/#h11</t>
  </si>
  <si>
    <t xml:space="preserve">Ось вращения </t>
  </si>
  <si>
    <t>y</t>
  </si>
  <si>
    <t>z</t>
  </si>
  <si>
    <t>модуль</t>
  </si>
  <si>
    <t>u - ось вращения ненормированная</t>
  </si>
  <si>
    <t>u нормир</t>
  </si>
  <si>
    <t>вектор оси Z</t>
  </si>
  <si>
    <t>http://ru.onlinemschool.com/math/library/analytic_geometry/plane_angl/</t>
  </si>
  <si>
    <t>соs угла между нормалью плоскости регрессии и оси Z</t>
  </si>
  <si>
    <t>sin угла между нормалью плоскости регрессии и оси Z</t>
  </si>
  <si>
    <t>Матрица вращения плоскости вокруг произвольной оси</t>
  </si>
  <si>
    <t>До вращения (изменен порядок столбцов)</t>
  </si>
  <si>
    <t>После вращения (изменен порядок столбцов)</t>
  </si>
  <si>
    <t>Строим ось вращения</t>
  </si>
  <si>
    <t>X</t>
  </si>
  <si>
    <t>Координаты после поворота и смещения на b0</t>
  </si>
  <si>
    <t>Вычисленные коэффициенты регрессии</t>
  </si>
  <si>
    <t>Y (тренд)</t>
  </si>
  <si>
    <t>Для разброса по кругу</t>
  </si>
  <si>
    <t>скалярное произведение нормали плоскости регрессии и оси Z ("-" для поворота плоскости в обратную сторону)</t>
  </si>
  <si>
    <t>угол поворота в градусах</t>
  </si>
  <si>
    <t>Задаем нормальный разброс Y относительно плоскости тренда с заданным стандартным отклонением</t>
  </si>
  <si>
    <t>Матричная диаграмма рассеяния (стандартная)</t>
  </si>
  <si>
    <t>Строим стандартную матричную диаграмму рассеяния</t>
  </si>
  <si>
    <t>Строим матричную диаграмму рассеяния относительно плоскости регрессии (показывает разброс Y относительно плоскости регрессии)</t>
  </si>
  <si>
    <t>Генерация данных для множественной регрессии с помощью заданного тренда</t>
  </si>
  <si>
    <t>Rz</t>
  </si>
  <si>
    <t>градусы</t>
  </si>
  <si>
    <t>радианы</t>
  </si>
  <si>
    <t>Исходные данные</t>
  </si>
  <si>
    <t>Служебный</t>
  </si>
  <si>
    <t>sin</t>
  </si>
  <si>
    <t>cos</t>
  </si>
  <si>
    <t>коэфф</t>
  </si>
  <si>
    <t>vx</t>
  </si>
  <si>
    <t>vx^2</t>
  </si>
  <si>
    <t>Матрица вращения</t>
  </si>
  <si>
    <t>vx^2*коэфф</t>
  </si>
  <si>
    <t>Построение диаграммы рассеяния относительно плоскости регрессии</t>
  </si>
  <si>
    <t>Матрица поворота вокруг оси Z</t>
  </si>
  <si>
    <t>https://math.stackexchange.com/questions/180418/calculate-rotation-matrix-to-align-vector-a-to-vector-b-in-3d/897677#897677</t>
  </si>
  <si>
    <t>Вектор b (проверка)</t>
  </si>
  <si>
    <t>I - единичная матрица</t>
  </si>
  <si>
    <t>Нормаль к плоскости регрессии</t>
  </si>
  <si>
    <t>В декартовых координатах</t>
  </si>
  <si>
    <t>Переменные регрессии</t>
  </si>
  <si>
    <t>Вектор оси Z</t>
  </si>
  <si>
    <t>Векторное произведение</t>
  </si>
  <si>
    <t>с=[a x b]</t>
  </si>
  <si>
    <t>Ось пересечения плоскости регрессии и плоскости Z=0 (это ось вращения)</t>
  </si>
  <si>
    <t>Уравнение плоскости Ax+By+Cz+D=0</t>
  </si>
  <si>
    <t>1. Вариант расчета матрицы вращения через совмещение нормали к плоскости регрессии и вектора оси Z (0;0;1)</t>
  </si>
  <si>
    <t>2. Вариант расчета матрицы вращения через нахождение оси вращения</t>
  </si>
  <si>
    <t>Матрицы (одной формулой)</t>
  </si>
  <si>
    <t>Такая запись м.б. удобна (коэффициент над соответствующей переменной)</t>
  </si>
  <si>
    <t>Формула</t>
  </si>
  <si>
    <t>Заданные коэффициенты регрессии (тренд)</t>
  </si>
  <si>
    <t>Y (Прогноз)</t>
  </si>
  <si>
    <t>X1</t>
  </si>
  <si>
    <t>X2</t>
  </si>
  <si>
    <t>Для прямого вычисления коэффициентов регрессии</t>
  </si>
  <si>
    <t>(Х1)^2</t>
  </si>
  <si>
    <t>(Х2)^2</t>
  </si>
  <si>
    <t>(Х1*Y)</t>
  </si>
  <si>
    <t>(Х2*Y)</t>
  </si>
  <si>
    <t>(Х1*X2)</t>
  </si>
  <si>
    <t>среднее</t>
  </si>
  <si>
    <t>Отклонения от среднего</t>
  </si>
  <si>
    <t>проверка</t>
  </si>
  <si>
    <t xml:space="preserve">Расчет коэффициентов регрессии (2 варианта: ЛИНЕЙН() и прямое вычисление) и прогнозных значений Y </t>
  </si>
  <si>
    <t>Среднее</t>
  </si>
  <si>
    <t>Ст.отклонение</t>
  </si>
  <si>
    <t>Нормированные исходные данные</t>
  </si>
  <si>
    <t>Матричная диаграмма рассеяния (вид сверху на плоскость регрессии и 2 вида вдоль плоскости)</t>
  </si>
  <si>
    <t>Вычисленные коэффициенты регрессии (исходные данные)</t>
  </si>
  <si>
    <t>Коэффициенты регрессии (нормированные исходные данные)</t>
  </si>
  <si>
    <t>Матричная диаграмма рассеяния (стандартная, для исходных данных)</t>
  </si>
  <si>
    <t>Матричная диаграмма рассеяния (стандартная, для нормированных данных)</t>
  </si>
  <si>
    <t>Итоговая Матрица вращения (после поворота для вида на плоскость регрессии и поворота вокруг Z)</t>
  </si>
  <si>
    <t>Вращение вокруг оси Z</t>
  </si>
  <si>
    <t>До вращения (изменен порядок столбцов для удобства)</t>
  </si>
  <si>
    <t>Генерируем пары значений регрессоров. Варианты: случайный разброс в заданных границах или заданная фигура (например, круг). Будем считать, что точки с координатами X1;X2 лежат в плоскости 0xy</t>
  </si>
  <si>
    <t>Аналогия с простой регрессией (один регрессор, одномерный случай: тренд - прямая линия): равномерное распределение значений регрессора Х вдоль оси Х</t>
  </si>
  <si>
    <t>Аналогия с простой регрессией: тренд - прямая линия y=kx+m</t>
  </si>
  <si>
    <t>Аналогия с простой регрессией: разброс Y около линии тренда</t>
  </si>
  <si>
    <t xml:space="preserve">Случайный разброс Х1 и Х2 </t>
  </si>
  <si>
    <t>Разброс  Х1 и Х2 по кругу</t>
  </si>
  <si>
    <t>Построение диаграммы рассеяния</t>
  </si>
  <si>
    <t>Радиус круга</t>
  </si>
  <si>
    <t>Через функцию ЛИНЕЙН()</t>
  </si>
  <si>
    <t xml:space="preserve">№ </t>
  </si>
  <si>
    <t>Расчет матрицы вращения через нахождение оси вращения</t>
  </si>
  <si>
    <t>угол поворота плоскости регрессии в градусах</t>
  </si>
  <si>
    <t>Вращаем систему координат, чтобы совместить плоскость Оxy и плоскость регрессии, т.е. находим новые координаты точек {X1;X2;Y} путем преобразования координат с помощи матрицы вращения</t>
  </si>
  <si>
    <t>Коэффициенты регрессии (изм. порядок)</t>
  </si>
  <si>
    <t>Коэфф. регрессии (изм. порядок)</t>
  </si>
  <si>
    <t>Коэфф. регрессии</t>
  </si>
  <si>
    <t>Х1среднее</t>
  </si>
  <si>
    <t>Х2среднее</t>
  </si>
  <si>
    <t xml:space="preserve"> {mn;mn-1;...;m1;b:   sen;sen-1;...;se1;seb:   r2;sey:   F;df:   ssreg;ssresid}</t>
  </si>
  <si>
    <t>seb</t>
  </si>
  <si>
    <t>r2</t>
  </si>
  <si>
    <t>sey</t>
  </si>
  <si>
    <t>ssreg</t>
  </si>
  <si>
    <t>ssresid</t>
  </si>
  <si>
    <t>m2 (b2)</t>
  </si>
  <si>
    <t>m1 (b1)</t>
  </si>
  <si>
    <t>b (b0)</t>
  </si>
  <si>
    <t>se2</t>
  </si>
  <si>
    <t>se1</t>
  </si>
  <si>
    <t>Результат функции ЛИНЕЙН()</t>
  </si>
  <si>
    <t>Альтернативные формулы</t>
  </si>
  <si>
    <t>Прогноз и Регрессионная статистика</t>
  </si>
  <si>
    <t>Y прогноз</t>
  </si>
  <si>
    <t>р</t>
  </si>
  <si>
    <t>число наблюдений</t>
  </si>
  <si>
    <t>число оцениваемых параметров модели</t>
  </si>
  <si>
    <t>n-p</t>
  </si>
  <si>
    <t>число степеней свободы</t>
  </si>
  <si>
    <t>уровень значимости</t>
  </si>
  <si>
    <t>Остатки (ошибки)</t>
  </si>
  <si>
    <t>MSE</t>
  </si>
  <si>
    <t>оценка дисперсии ошибки</t>
  </si>
  <si>
    <t>se (b1)</t>
  </si>
  <si>
    <t>se (b2)</t>
  </si>
  <si>
    <t>se (b0)</t>
  </si>
  <si>
    <t>Доверительные интервалы для коэффициентов регрессии</t>
  </si>
  <si>
    <t>Стандартные ошибки коэф.регрессии</t>
  </si>
  <si>
    <t>левая граница</t>
  </si>
  <si>
    <t>правая граница</t>
  </si>
  <si>
    <r>
      <t>R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adj</t>
    </r>
  </si>
  <si>
    <t>k (кол-во регрессоров)</t>
  </si>
  <si>
    <t>p (кол-во оцениваемых параметров модели)</t>
  </si>
  <si>
    <t>MSR</t>
  </si>
  <si>
    <t>MSE (MSres)</t>
  </si>
  <si>
    <t>Fальфа,k,DF</t>
  </si>
  <si>
    <t>Проверка значимости взаимосвязи (2 эквивалентных подхода)</t>
  </si>
  <si>
    <t>Проверка через вычисление F-статистики</t>
  </si>
  <si>
    <t>Проверка через р-значение</t>
  </si>
  <si>
    <t>критическое значение F-статистики</t>
  </si>
  <si>
    <t>p-значение</t>
  </si>
  <si>
    <t>Предсказанное Y (Прочность)</t>
  </si>
  <si>
    <t>Значение t-статистики</t>
  </si>
  <si>
    <t>Значимый коэффициент?</t>
  </si>
  <si>
    <t>Проверка значимости коэффициентов регрссии</t>
  </si>
  <si>
    <t>Вариант1</t>
  </si>
  <si>
    <t>Вариант2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</si>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</sst>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0.000"/>
    <numFmt numFmtId="166" formatCode="0.0000"/>
    <numFmt numFmtId="167" formatCode="0.0"/>
    <numFmt numFmtId="168" formatCode="0.00000"/>
    <numFmt numFmtId="169" formatCode="0.0%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vertAlign val="superscript"/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4" fillId="0" borderId="0" applyFont="0" applyFill="0" applyBorder="0" applyAlignment="0" applyProtection="0"/>
  </cellStyleXfs>
  <cellXfs count="19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2" fillId="0" borderId="1" xfId="1" applyFont="1" applyBorder="1"/>
    <xf numFmtId="0" fontId="10" fillId="0" borderId="1" xfId="1" applyFont="1" applyBorder="1"/>
    <xf numFmtId="0" fontId="12" fillId="4" borderId="0" xfId="1" applyFont="1" applyFill="1"/>
    <xf numFmtId="0" fontId="13" fillId="0" borderId="0" xfId="1" applyFont="1"/>
    <xf numFmtId="0" fontId="11" fillId="4" borderId="0" xfId="1" applyFont="1" applyFill="1"/>
    <xf numFmtId="0" fontId="4" fillId="2" borderId="0" xfId="2" applyFill="1" applyAlignment="1" applyProtection="1"/>
    <xf numFmtId="0" fontId="10" fillId="5" borderId="1" xfId="1" applyFont="1" applyFill="1" applyBorder="1"/>
    <xf numFmtId="165" fontId="10" fillId="0" borderId="0" xfId="1" applyNumberFormat="1" applyFont="1"/>
    <xf numFmtId="0" fontId="12" fillId="0" borderId="1" xfId="1" applyFont="1" applyBorder="1" applyAlignment="1">
      <alignment wrapText="1"/>
    </xf>
    <xf numFmtId="165" fontId="10" fillId="0" borderId="1" xfId="1" applyNumberFormat="1" applyFont="1" applyBorder="1"/>
    <xf numFmtId="166" fontId="10" fillId="0" borderId="1" xfId="1" applyNumberFormat="1" applyFont="1" applyBorder="1"/>
    <xf numFmtId="0" fontId="15" fillId="0" borderId="0" xfId="1" applyFont="1"/>
    <xf numFmtId="167" fontId="10" fillId="0" borderId="0" xfId="1" applyNumberFormat="1" applyFont="1"/>
    <xf numFmtId="0" fontId="16" fillId="0" borderId="1" xfId="0" applyFont="1" applyBorder="1"/>
    <xf numFmtId="0" fontId="16" fillId="0" borderId="0" xfId="0" applyFont="1"/>
    <xf numFmtId="0" fontId="14" fillId="0" borderId="0" xfId="0" applyFont="1"/>
    <xf numFmtId="0" fontId="14" fillId="0" borderId="1" xfId="0" applyFont="1" applyBorder="1"/>
    <xf numFmtId="0" fontId="18" fillId="0" borderId="1" xfId="0" applyFont="1" applyBorder="1"/>
    <xf numFmtId="0" fontId="14" fillId="0" borderId="1" xfId="0" applyFont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16" fillId="0" borderId="1" xfId="0" applyFont="1" applyBorder="1" applyAlignment="1">
      <alignment horizontal="center"/>
    </xf>
    <xf numFmtId="0" fontId="20" fillId="0" borderId="1" xfId="0" applyFont="1" applyBorder="1"/>
    <xf numFmtId="0" fontId="12" fillId="6" borderId="0" xfId="1" applyFont="1" applyFill="1"/>
    <xf numFmtId="166" fontId="10" fillId="0" borderId="0" xfId="1" applyNumberFormat="1" applyFont="1"/>
    <xf numFmtId="0" fontId="10" fillId="4" borderId="0" xfId="1" applyFont="1" applyFill="1"/>
    <xf numFmtId="2" fontId="10" fillId="0" borderId="0" xfId="1" applyNumberFormat="1" applyFont="1"/>
    <xf numFmtId="0" fontId="10" fillId="0" borderId="0" xfId="1" applyFont="1" applyFill="1"/>
    <xf numFmtId="0" fontId="10" fillId="0" borderId="3" xfId="1" applyFont="1" applyBorder="1"/>
    <xf numFmtId="0" fontId="10" fillId="0" borderId="4" xfId="1" applyFont="1" applyBorder="1"/>
    <xf numFmtId="0" fontId="13" fillId="0" borderId="5" xfId="1" applyFont="1" applyBorder="1" applyAlignment="1">
      <alignment horizontal="centerContinuous" vertical="top" wrapText="1"/>
    </xf>
    <xf numFmtId="0" fontId="10" fillId="0" borderId="6" xfId="1" applyFont="1" applyBorder="1" applyAlignment="1">
      <alignment horizontal="centerContinuous" vertical="top" wrapText="1"/>
    </xf>
    <xf numFmtId="0" fontId="10" fillId="0" borderId="7" xfId="1" applyFont="1" applyBorder="1" applyAlignment="1">
      <alignment horizontal="centerContinuous" vertical="top" wrapText="1"/>
    </xf>
    <xf numFmtId="0" fontId="10" fillId="5" borderId="0" xfId="1" applyFont="1" applyFill="1" applyBorder="1"/>
    <xf numFmtId="0" fontId="10" fillId="0" borderId="0" xfId="1" applyFont="1" applyBorder="1"/>
    <xf numFmtId="165" fontId="10" fillId="0" borderId="0" xfId="1" applyNumberFormat="1" applyFont="1" applyBorder="1"/>
    <xf numFmtId="166" fontId="10" fillId="0" borderId="0" xfId="1" applyNumberFormat="1" applyFont="1" applyBorder="1"/>
    <xf numFmtId="2" fontId="10" fillId="0" borderId="0" xfId="1" applyNumberFormat="1" applyFont="1" applyBorder="1"/>
    <xf numFmtId="0" fontId="10" fillId="7" borderId="9" xfId="1" applyFont="1" applyFill="1" applyBorder="1"/>
    <xf numFmtId="0" fontId="10" fillId="0" borderId="9" xfId="1" applyFont="1" applyBorder="1"/>
    <xf numFmtId="0" fontId="10" fillId="7" borderId="8" xfId="1" applyFont="1" applyFill="1" applyBorder="1"/>
    <xf numFmtId="2" fontId="10" fillId="0" borderId="1" xfId="1" applyNumberFormat="1" applyFont="1" applyBorder="1"/>
    <xf numFmtId="0" fontId="0" fillId="0" borderId="0" xfId="0" applyFill="1" applyBorder="1" applyAlignment="1"/>
    <xf numFmtId="0" fontId="0" fillId="0" borderId="11" xfId="0" applyFill="1" applyBorder="1" applyAlignment="1"/>
    <xf numFmtId="0" fontId="22" fillId="0" borderId="12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Continuous"/>
    </xf>
    <xf numFmtId="165" fontId="0" fillId="0" borderId="0" xfId="0" applyNumberFormat="1"/>
    <xf numFmtId="0" fontId="0" fillId="4" borderId="0" xfId="0" applyFill="1" applyBorder="1" applyAlignment="1"/>
    <xf numFmtId="0" fontId="0" fillId="4" borderId="11" xfId="0" applyFill="1" applyBorder="1" applyAlignment="1"/>
    <xf numFmtId="4" fontId="0" fillId="0" borderId="0" xfId="0" applyNumberFormat="1" applyFill="1" applyBorder="1" applyAlignment="1"/>
    <xf numFmtId="4" fontId="0" fillId="0" borderId="11" xfId="0" applyNumberFormat="1" applyFill="1" applyBorder="1" applyAlignment="1"/>
    <xf numFmtId="4" fontId="0" fillId="4" borderId="0" xfId="0" applyNumberFormat="1" applyFill="1" applyBorder="1" applyAlignment="1"/>
    <xf numFmtId="4" fontId="0" fillId="4" borderId="11" xfId="0" applyNumberFormat="1" applyFill="1" applyBorder="1" applyAlignment="1"/>
    <xf numFmtId="0" fontId="10" fillId="8" borderId="0" xfId="1" applyFont="1" applyFill="1"/>
    <xf numFmtId="0" fontId="15" fillId="8" borderId="0" xfId="1" applyFont="1" applyFill="1"/>
    <xf numFmtId="0" fontId="23" fillId="8" borderId="0" xfId="1" applyFont="1" applyFill="1"/>
    <xf numFmtId="9" fontId="24" fillId="0" borderId="0" xfId="0" applyNumberFormat="1" applyFont="1" applyAlignment="1">
      <alignment horizontal="center"/>
    </xf>
    <xf numFmtId="0" fontId="23" fillId="9" borderId="0" xfId="1" applyFont="1" applyFill="1"/>
    <xf numFmtId="0" fontId="10" fillId="9" borderId="0" xfId="1" applyFont="1" applyFill="1"/>
    <xf numFmtId="0" fontId="15" fillId="9" borderId="0" xfId="1" applyFont="1" applyFill="1"/>
    <xf numFmtId="0" fontId="4" fillId="0" borderId="0" xfId="2" applyAlignment="1" applyProtection="1"/>
    <xf numFmtId="0" fontId="12" fillId="10" borderId="0" xfId="1" applyFont="1" applyFill="1"/>
    <xf numFmtId="0" fontId="18" fillId="0" borderId="0" xfId="0" applyFont="1" applyAlignment="1">
      <alignment vertical="center"/>
    </xf>
    <xf numFmtId="0" fontId="0" fillId="0" borderId="1" xfId="0" applyBorder="1"/>
    <xf numFmtId="2" fontId="0" fillId="0" borderId="0" xfId="0" applyNumberFormat="1"/>
    <xf numFmtId="2" fontId="18" fillId="0" borderId="0" xfId="0" applyNumberFormat="1" applyFont="1" applyAlignment="1">
      <alignment vertical="center"/>
    </xf>
    <xf numFmtId="2" fontId="0" fillId="0" borderId="1" xfId="0" applyNumberFormat="1" applyBorder="1"/>
    <xf numFmtId="0" fontId="0" fillId="5" borderId="1" xfId="0" applyFill="1" applyBorder="1"/>
    <xf numFmtId="0" fontId="26" fillId="0" borderId="2" xfId="0" applyFont="1" applyBorder="1" applyAlignment="1">
      <alignment horizontal="centerContinuous" vertical="top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6" borderId="15" xfId="0" applyFill="1" applyBorder="1" applyAlignment="1">
      <alignment horizontal="centerContinuous"/>
    </xf>
    <xf numFmtId="0" fontId="22" fillId="0" borderId="15" xfId="0" applyFont="1" applyBorder="1" applyAlignment="1"/>
    <xf numFmtId="0" fontId="22" fillId="0" borderId="15" xfId="0" applyFont="1" applyBorder="1"/>
    <xf numFmtId="0" fontId="22" fillId="0" borderId="1" xfId="0" applyFont="1" applyBorder="1" applyAlignment="1"/>
    <xf numFmtId="0" fontId="22" fillId="0" borderId="1" xfId="0" applyFont="1" applyBorder="1"/>
    <xf numFmtId="0" fontId="22" fillId="0" borderId="0" xfId="0" applyFont="1"/>
    <xf numFmtId="0" fontId="0" fillId="6" borderId="1" xfId="0" applyFill="1" applyBorder="1" applyAlignment="1">
      <alignment horizontal="centerContinuous"/>
    </xf>
    <xf numFmtId="0" fontId="25" fillId="0" borderId="0" xfId="0" applyFont="1"/>
    <xf numFmtId="0" fontId="28" fillId="0" borderId="0" xfId="0" applyFont="1"/>
    <xf numFmtId="0" fontId="29" fillId="0" borderId="0" xfId="0" applyFont="1"/>
    <xf numFmtId="0" fontId="22" fillId="0" borderId="0" xfId="0" applyFont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2" fillId="11" borderId="1" xfId="1" applyFont="1" applyFill="1" applyBorder="1"/>
    <xf numFmtId="0" fontId="12" fillId="5" borderId="1" xfId="1" applyFont="1" applyFill="1" applyBorder="1"/>
    <xf numFmtId="2" fontId="18" fillId="0" borderId="1" xfId="0" applyNumberFormat="1" applyFont="1" applyBorder="1" applyAlignment="1">
      <alignment vertical="center"/>
    </xf>
    <xf numFmtId="167" fontId="18" fillId="0" borderId="1" xfId="0" applyNumberFormat="1" applyFont="1" applyBorder="1" applyAlignment="1">
      <alignment vertical="center"/>
    </xf>
    <xf numFmtId="0" fontId="12" fillId="10" borderId="1" xfId="1" applyFont="1" applyFill="1" applyBorder="1"/>
    <xf numFmtId="165" fontId="12" fillId="0" borderId="1" xfId="1" applyNumberFormat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7" fillId="0" borderId="1" xfId="0" applyFont="1" applyBorder="1"/>
    <xf numFmtId="0" fontId="12" fillId="0" borderId="1" xfId="1" applyFont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14" fillId="0" borderId="0" xfId="0" applyFont="1" applyBorder="1"/>
    <xf numFmtId="0" fontId="0" fillId="0" borderId="0" xfId="0" applyFont="1"/>
    <xf numFmtId="0" fontId="20" fillId="0" borderId="0" xfId="0" applyFont="1" applyBorder="1"/>
    <xf numFmtId="0" fontId="22" fillId="0" borderId="0" xfId="0" applyFont="1" applyAlignment="1">
      <alignment wrapText="1"/>
    </xf>
    <xf numFmtId="0" fontId="32" fillId="0" borderId="0" xfId="1" applyFont="1"/>
    <xf numFmtId="0" fontId="12" fillId="0" borderId="0" xfId="1" applyFont="1"/>
    <xf numFmtId="0" fontId="22" fillId="0" borderId="0" xfId="0" applyFont="1" applyAlignment="1"/>
    <xf numFmtId="0" fontId="26" fillId="0" borderId="2" xfId="0" applyFont="1" applyBorder="1" applyAlignment="1">
      <alignment horizontal="centerContinuous" vertical="top" wrapText="1"/>
    </xf>
    <xf numFmtId="0" fontId="0" fillId="0" borderId="13" xfId="0" applyBorder="1" applyAlignment="1">
      <alignment horizontal="centerContinuous" wrapText="1"/>
    </xf>
    <xf numFmtId="0" fontId="0" fillId="0" borderId="14" xfId="0" applyBorder="1" applyAlignment="1">
      <alignment horizontal="centerContinuous" wrapText="1"/>
    </xf>
    <xf numFmtId="167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165" fontId="0" fillId="5" borderId="1" xfId="0" applyNumberFormat="1" applyFill="1" applyBorder="1"/>
    <xf numFmtId="166" fontId="0" fillId="0" borderId="1" xfId="0" applyNumberFormat="1" applyBorder="1"/>
    <xf numFmtId="165" fontId="0" fillId="0" borderId="1" xfId="0" applyNumberFormat="1" applyBorder="1"/>
    <xf numFmtId="0" fontId="34" fillId="0" borderId="1" xfId="0" applyFont="1" applyBorder="1" applyAlignment="1"/>
    <xf numFmtId="0" fontId="34" fillId="0" borderId="1" xfId="0" applyFont="1" applyBorder="1"/>
    <xf numFmtId="2" fontId="33" fillId="0" borderId="1" xfId="0" applyNumberFormat="1" applyFont="1" applyBorder="1"/>
    <xf numFmtId="169" fontId="0" fillId="0" borderId="1" xfId="9" applyNumberFormat="1" applyFont="1" applyBorder="1"/>
    <xf numFmtId="0" fontId="0" fillId="0" borderId="0" xfId="0" applyBorder="1"/>
    <xf numFmtId="0" fontId="37" fillId="0" borderId="0" xfId="0" applyFont="1"/>
    <xf numFmtId="2" fontId="0" fillId="5" borderId="1" xfId="0" applyNumberFormat="1" applyFill="1" applyBorder="1"/>
    <xf numFmtId="0" fontId="38" fillId="0" borderId="2" xfId="0" applyFont="1" applyBorder="1" applyAlignment="1">
      <alignment horizontal="centerContinuous" vertical="top" wrapText="1"/>
    </xf>
    <xf numFmtId="165" fontId="0" fillId="0" borderId="0" xfId="0" applyNumberFormat="1" applyBorder="1"/>
    <xf numFmtId="166" fontId="0" fillId="0" borderId="0" xfId="0" applyNumberFormat="1"/>
    <xf numFmtId="165" fontId="0" fillId="0" borderId="1" xfId="0" applyNumberFormat="1" applyFill="1" applyBorder="1"/>
    <xf numFmtId="2" fontId="0" fillId="0" borderId="1" xfId="0" applyNumberFormat="1" applyFill="1" applyBorder="1"/>
    <xf numFmtId="0" fontId="22" fillId="5" borderId="0" xfId="0" applyFont="1" applyFill="1"/>
    <xf numFmtId="0" fontId="0" fillId="5" borderId="0" xfId="0" applyFill="1"/>
    <xf numFmtId="2" fontId="0" fillId="5" borderId="0" xfId="0" applyNumberFormat="1" applyFill="1"/>
    <xf numFmtId="0" fontId="39" fillId="0" borderId="1" xfId="0" applyFont="1" applyBorder="1" applyAlignment="1">
      <alignment wrapText="1"/>
    </xf>
    <xf numFmtId="0" fontId="22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2" fontId="0" fillId="13" borderId="1" xfId="0" applyNumberFormat="1" applyFill="1" applyBorder="1"/>
    <xf numFmtId="0" fontId="16" fillId="10" borderId="0" xfId="0" applyFont="1" applyFill="1"/>
    <xf numFmtId="0" fontId="0" fillId="10" borderId="0" xfId="0" applyFill="1"/>
    <xf numFmtId="168" fontId="18" fillId="12" borderId="1" xfId="0" applyNumberFormat="1" applyFont="1" applyFill="1" applyBorder="1"/>
    <xf numFmtId="168" fontId="18" fillId="0" borderId="1" xfId="0" applyNumberFormat="1" applyFont="1" applyBorder="1"/>
    <xf numFmtId="0" fontId="40" fillId="0" borderId="1" xfId="0" applyFont="1" applyBorder="1"/>
    <xf numFmtId="0" fontId="12" fillId="0" borderId="0" xfId="1" applyFont="1" applyBorder="1" applyAlignment="1">
      <alignment wrapText="1"/>
    </xf>
    <xf numFmtId="0" fontId="34" fillId="0" borderId="0" xfId="0" applyFont="1"/>
    <xf numFmtId="165" fontId="0" fillId="4" borderId="1" xfId="0" applyNumberFormat="1" applyFill="1" applyBorder="1"/>
    <xf numFmtId="165" fontId="0" fillId="4" borderId="14" xfId="0" applyNumberFormat="1" applyFill="1" applyBorder="1"/>
    <xf numFmtId="0" fontId="41" fillId="0" borderId="0" xfId="0" applyFont="1"/>
    <xf numFmtId="2" fontId="42" fillId="0" borderId="1" xfId="0" applyNumberFormat="1" applyFont="1" applyBorder="1"/>
    <xf numFmtId="0" fontId="18" fillId="0" borderId="1" xfId="0" applyFont="1" applyBorder="1" applyAlignment="1">
      <alignment wrapText="1"/>
    </xf>
    <xf numFmtId="0" fontId="12" fillId="0" borderId="1" xfId="1" applyFont="1" applyBorder="1" applyAlignment="1"/>
    <xf numFmtId="0" fontId="10" fillId="0" borderId="1" xfId="1" applyFont="1" applyBorder="1" applyAlignment="1"/>
    <xf numFmtId="167" fontId="10" fillId="0" borderId="1" xfId="1" applyNumberFormat="1" applyFont="1" applyBorder="1"/>
    <xf numFmtId="0" fontId="12" fillId="14" borderId="0" xfId="1" applyFont="1" applyFill="1"/>
    <xf numFmtId="1" fontId="10" fillId="0" borderId="1" xfId="1" applyNumberFormat="1" applyFont="1" applyBorder="1"/>
    <xf numFmtId="1" fontId="10" fillId="0" borderId="0" xfId="1" applyNumberFormat="1" applyFont="1"/>
    <xf numFmtId="165" fontId="10" fillId="0" borderId="0" xfId="1" applyNumberFormat="1" applyFont="1" applyFill="1"/>
    <xf numFmtId="168" fontId="10" fillId="0" borderId="0" xfId="1" applyNumberFormat="1" applyFont="1"/>
    <xf numFmtId="168" fontId="10" fillId="0" borderId="1" xfId="1" applyNumberFormat="1" applyFont="1" applyBorder="1"/>
    <xf numFmtId="0" fontId="12" fillId="0" borderId="1" xfId="1" applyFont="1" applyFill="1" applyBorder="1" applyAlignment="1">
      <alignment wrapText="1"/>
    </xf>
    <xf numFmtId="168" fontId="10" fillId="0" borderId="1" xfId="1" applyNumberFormat="1" applyFont="1" applyFill="1" applyBorder="1"/>
    <xf numFmtId="0" fontId="10" fillId="0" borderId="10" xfId="1" applyFont="1" applyBorder="1"/>
    <xf numFmtId="165" fontId="10" fillId="0" borderId="4" xfId="1" applyNumberFormat="1" applyFont="1" applyBorder="1"/>
    <xf numFmtId="0" fontId="13" fillId="0" borderId="3" xfId="1" applyFont="1" applyBorder="1"/>
    <xf numFmtId="0" fontId="13" fillId="0" borderId="0" xfId="1" applyFont="1" applyBorder="1" applyAlignment="1">
      <alignment wrapText="1"/>
    </xf>
    <xf numFmtId="0" fontId="43" fillId="0" borderId="8" xfId="1" applyFont="1" applyBorder="1" applyAlignment="1">
      <alignment wrapText="1"/>
    </xf>
    <xf numFmtId="0" fontId="42" fillId="0" borderId="0" xfId="1" applyFont="1"/>
    <xf numFmtId="0" fontId="42" fillId="4" borderId="0" xfId="1" applyFont="1" applyFill="1"/>
    <xf numFmtId="0" fontId="14" fillId="4" borderId="11" xfId="0" applyFont="1" applyFill="1" applyBorder="1" applyAlignment="1"/>
    <xf numFmtId="11" fontId="0" fillId="0" borderId="0" xfId="0" applyNumberFormat="1"/>
    <xf numFmtId="0" fontId="12" fillId="11" borderId="1" xfId="1" applyFont="1" applyFill="1" applyBorder="1" applyAlignment="1">
      <alignment vertical="top"/>
    </xf>
    <xf numFmtId="0" fontId="12" fillId="4" borderId="0" xfId="1" applyFont="1" applyFill="1" applyAlignment="1">
      <alignment vertical="top"/>
    </xf>
    <xf numFmtId="0" fontId="12" fillId="10" borderId="0" xfId="1" applyFont="1" applyFill="1" applyAlignment="1">
      <alignment vertical="top"/>
    </xf>
    <xf numFmtId="0" fontId="12" fillId="4" borderId="0" xfId="1" applyFont="1" applyFill="1" applyAlignment="1">
      <alignment vertical="top" wrapText="1"/>
    </xf>
    <xf numFmtId="0" fontId="12" fillId="11" borderId="0" xfId="1" applyFont="1" applyFill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2" fillId="5" borderId="1" xfId="1" applyFont="1" applyFill="1" applyBorder="1" applyAlignment="1">
      <alignment vertical="top" wrapText="1"/>
    </xf>
    <xf numFmtId="0" fontId="44" fillId="0" borderId="1" xfId="1" applyFont="1" applyBorder="1" applyAlignment="1">
      <alignment wrapText="1"/>
    </xf>
    <xf numFmtId="0" fontId="10" fillId="15" borderId="1" xfId="1" applyFont="1" applyFill="1" applyBorder="1"/>
    <xf numFmtId="0" fontId="8" fillId="0" borderId="0" xfId="7"/>
    <xf numFmtId="0" fontId="45" fillId="16" borderId="0" xfId="7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textRotation="90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 textRotation="90"/>
    </xf>
    <xf numFmtId="0" fontId="0" fillId="6" borderId="16" xfId="0" applyFill="1" applyBorder="1" applyAlignment="1">
      <alignment horizontal="center" vertical="center" textRotation="90"/>
    </xf>
    <xf numFmtId="0" fontId="0" fillId="6" borderId="15" xfId="0" applyFill="1" applyBorder="1" applyAlignment="1">
      <alignment horizontal="center" vertical="center" textRotation="90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1670927497701"/>
          <c:y val="6.168066491688539E-2"/>
          <c:w val="0.73768244878481104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(матричная)'!$D$7:$D$37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'Диагр расс (матричная)'!$B$7:$B$37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D-4A76-AA87-19B3A884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89824"/>
        <c:axId val="123391360"/>
      </c:scatterChart>
      <c:valAx>
        <c:axId val="1233898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3391360"/>
        <c:crosses val="autoZero"/>
        <c:crossBetween val="midCat"/>
      </c:valAx>
      <c:valAx>
        <c:axId val="12339136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2338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(матричная)'!$C$7:$C$37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'Диагр расс (матричная)'!$D$7:$D$37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F-454F-8888-C24401FC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74176"/>
        <c:axId val="126275968"/>
      </c:scatterChart>
      <c:valAx>
        <c:axId val="1262741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26275968"/>
        <c:crosses val="autoZero"/>
        <c:crossBetween val="midCat"/>
      </c:valAx>
      <c:valAx>
        <c:axId val="12627596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26274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'Диагр расс (матричная)'!$G$7</c:f>
              <c:strCache>
                <c:ptCount val="1"/>
                <c:pt idx="0">
                  <c:v>X1 (Концентрация)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(матричная)'!$C$7:$C$37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'Диагр расс (матричная)'!$B$7:$B$37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0-444E-A703-89A99CEEB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83136"/>
        <c:axId val="134558848"/>
      </c:scatterChart>
      <c:valAx>
        <c:axId val="126283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34558848"/>
        <c:crosses val="autoZero"/>
        <c:crossBetween val="midCat"/>
      </c:valAx>
      <c:valAx>
        <c:axId val="134558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283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(матричная)'!$B$7:$B$37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xVal>
          <c:yVal>
            <c:numRef>
              <c:f>'Диагр расс (матричная)'!$D$7:$D$37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9-48FB-B9AC-0C3FCC64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80096"/>
        <c:axId val="134581632"/>
      </c:scatterChart>
      <c:valAx>
        <c:axId val="1345800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581632"/>
        <c:crosses val="autoZero"/>
        <c:crossBetween val="midCat"/>
      </c:valAx>
      <c:valAx>
        <c:axId val="134581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80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6159776902886"/>
          <c:y val="6.168066491688539E-2"/>
          <c:w val="0.71603756561679788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'Диагр расс (матричная)'!$B$7:$B$37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xVal>
          <c:yVal>
            <c:numRef>
              <c:f>'Диагр расс (матричная)'!$C$7:$C$37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A-4B47-872D-D29F0704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01344"/>
        <c:axId val="134615808"/>
      </c:scatterChart>
      <c:valAx>
        <c:axId val="134601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615808"/>
        <c:crosses val="autoZero"/>
        <c:crossBetween val="midCat"/>
      </c:valAx>
      <c:valAx>
        <c:axId val="1346158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4601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'Диагр расс (матричная)'!$D$7:$D$37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'Диагр расс (матричная)'!$C$7:$C$37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9-4AA0-A37C-1A3A4FC1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22592"/>
        <c:axId val="134637056"/>
      </c:scatterChart>
      <c:valAx>
        <c:axId val="1346225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637056"/>
        <c:crosses val="autoZero"/>
        <c:crossBetween val="midCat"/>
      </c:valAx>
      <c:valAx>
        <c:axId val="1346370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4622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(матричная)'!$D$7:$D$37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'Диагр расс (матричная)'!$B$7:$B$37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D-46C9-9F72-EB41F7BD7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73152"/>
        <c:axId val="134674688"/>
      </c:scatterChart>
      <c:valAx>
        <c:axId val="1346731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674688"/>
        <c:crosses val="autoZero"/>
        <c:crossBetween val="midCat"/>
      </c:valAx>
      <c:valAx>
        <c:axId val="13467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73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75870061696837"/>
          <c:y val="6.168066491688539E-2"/>
          <c:w val="0.77337116951290175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'Диагр расс (матричная)'!$C$7:$C$37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'Диагр расс (матричная)'!$B$7:$B$37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3B-46E5-B4DE-49C57AF9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12640"/>
        <c:axId val="140535296"/>
      </c:scatterChart>
      <c:valAx>
        <c:axId val="1405126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40535296"/>
        <c:crosses val="autoZero"/>
        <c:crossBetween val="midCat"/>
      </c:valAx>
      <c:valAx>
        <c:axId val="14053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051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8686641442546"/>
          <c:y val="6.168066491688539E-2"/>
          <c:w val="0.76324300371544462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'Диагр расс (матричная)'!$C$7:$C$37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'Диагр расс (матричная)'!$D$7:$D$37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7-4D91-B539-4ACA09A8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66912"/>
        <c:axId val="140568832"/>
      </c:scatterChart>
      <c:valAx>
        <c:axId val="140566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40568832"/>
        <c:crosses val="autoZero"/>
        <c:crossBetween val="midCat"/>
      </c:valAx>
      <c:valAx>
        <c:axId val="140568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056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19931102362193E-2"/>
          <c:y val="6.168066491688539E-2"/>
          <c:w val="0.80457923228346462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регрессии)'!$D$36:$D$66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'Диагр расс (в плоск регрессии)'!$B$36:$B$66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A-48A6-A152-0BAB4632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37664"/>
        <c:axId val="140595584"/>
      </c:scatterChart>
      <c:valAx>
        <c:axId val="132737664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595584"/>
        <c:crosses val="autoZero"/>
        <c:crossBetween val="midCat"/>
      </c:valAx>
      <c:valAx>
        <c:axId val="14059558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73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7125393002186"/>
          <c:y val="5.6935998384817284E-2"/>
          <c:w val="0.71979698157795802"/>
          <c:h val="0.814593983444377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регрессии)'!$C$36:$C$66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'Диагр расс (в плоск регрессии)'!$D$36:$D$66</c:f>
              <c:numCache>
                <c:formatCode>0.00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6-489C-B3E1-53AF319A5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39616"/>
        <c:axId val="132646016"/>
      </c:scatterChart>
      <c:valAx>
        <c:axId val="140639616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646016"/>
        <c:crosses val="autoZero"/>
        <c:crossBetween val="midCat"/>
      </c:valAx>
      <c:valAx>
        <c:axId val="13264601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63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регрессии)'!$C$36:$C$66</c:f>
              <c:numCache>
                <c:formatCode>0.00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'Диагр расс (в плоск регрессии)'!$B$36:$B$66</c:f>
              <c:numCache>
                <c:formatCode>0.00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78-45E2-90B7-1E1C82EB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8064"/>
        <c:axId val="123209600"/>
      </c:scatterChart>
      <c:valAx>
        <c:axId val="123208064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23209600"/>
        <c:crosses val="autoZero"/>
        <c:crossBetween val="midCat"/>
      </c:valAx>
      <c:valAx>
        <c:axId val="12320960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2320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19931102362193E-2"/>
          <c:y val="6.168066491688539E-2"/>
          <c:w val="0.80457923228346462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регрессии)'!$S$36:$S$66</c:f>
              <c:numCache>
                <c:formatCode>0.0000</c:formatCode>
                <c:ptCount val="31"/>
                <c:pt idx="0">
                  <c:v>-2.0462908390959567</c:v>
                </c:pt>
                <c:pt idx="1">
                  <c:v>-1.9062455783031789</c:v>
                </c:pt>
                <c:pt idx="2">
                  <c:v>-1.9255565376797037</c:v>
                </c:pt>
                <c:pt idx="3">
                  <c:v>-1.386480825320751</c:v>
                </c:pt>
                <c:pt idx="4">
                  <c:v>-1.7926409611283649</c:v>
                </c:pt>
                <c:pt idx="5">
                  <c:v>-1.7971398517728807</c:v>
                </c:pt>
                <c:pt idx="6">
                  <c:v>-0.97912935641444432</c:v>
                </c:pt>
                <c:pt idx="7">
                  <c:v>-0.66668322759233467</c:v>
                </c:pt>
                <c:pt idx="8">
                  <c:v>-0.63761179037744864</c:v>
                </c:pt>
                <c:pt idx="9">
                  <c:v>-0.75021168322961318</c:v>
                </c:pt>
                <c:pt idx="10">
                  <c:v>-0.54601273954571594</c:v>
                </c:pt>
                <c:pt idx="11">
                  <c:v>-0.28630171502896895</c:v>
                </c:pt>
                <c:pt idx="12">
                  <c:v>-0.62795198871470204</c:v>
                </c:pt>
                <c:pt idx="13">
                  <c:v>-3.1889140512048247E-2</c:v>
                </c:pt>
                <c:pt idx="14">
                  <c:v>-0.33304939839713832</c:v>
                </c:pt>
                <c:pt idx="15">
                  <c:v>-0.16716653232333678</c:v>
                </c:pt>
                <c:pt idx="16">
                  <c:v>0.35558519348677498</c:v>
                </c:pt>
                <c:pt idx="17">
                  <c:v>0.41463694739643997</c:v>
                </c:pt>
                <c:pt idx="18">
                  <c:v>0.48380535837522715</c:v>
                </c:pt>
                <c:pt idx="19">
                  <c:v>0.63789999135068398</c:v>
                </c:pt>
                <c:pt idx="20">
                  <c:v>0.75155494661330524</c:v>
                </c:pt>
                <c:pt idx="21">
                  <c:v>0.51940344149461226</c:v>
                </c:pt>
                <c:pt idx="22">
                  <c:v>0.99645390239804299</c:v>
                </c:pt>
                <c:pt idx="23">
                  <c:v>0.75413540212242058</c:v>
                </c:pt>
                <c:pt idx="24">
                  <c:v>0.97673642570294994</c:v>
                </c:pt>
                <c:pt idx="25">
                  <c:v>1.1396691817550488</c:v>
                </c:pt>
                <c:pt idx="26">
                  <c:v>1.5051648999744436</c:v>
                </c:pt>
                <c:pt idx="27">
                  <c:v>1.4935363250884894</c:v>
                </c:pt>
                <c:pt idx="28">
                  <c:v>1.5302901467939458</c:v>
                </c:pt>
                <c:pt idx="29">
                  <c:v>1.8077498747825778</c:v>
                </c:pt>
                <c:pt idx="30">
                  <c:v>2.5137401281016345</c:v>
                </c:pt>
              </c:numCache>
            </c:numRef>
          </c:xVal>
          <c:yVal>
            <c:numRef>
              <c:f>'Диагр расс (в плоск регрессии)'!$Q$36:$Q$66</c:f>
              <c:numCache>
                <c:formatCode>0.0000</c:formatCode>
                <c:ptCount val="31"/>
                <c:pt idx="0">
                  <c:v>-0.28622172607374197</c:v>
                </c:pt>
                <c:pt idx="1">
                  <c:v>-0.30235341460942544</c:v>
                </c:pt>
                <c:pt idx="2">
                  <c:v>-0.31539733021479577</c:v>
                </c:pt>
                <c:pt idx="3">
                  <c:v>0.13870653998335875</c:v>
                </c:pt>
                <c:pt idx="4">
                  <c:v>-0.35327169986041507</c:v>
                </c:pt>
                <c:pt idx="5">
                  <c:v>-0.35389243558910144</c:v>
                </c:pt>
                <c:pt idx="6">
                  <c:v>-0.12335808603189974</c:v>
                </c:pt>
                <c:pt idx="7">
                  <c:v>0.39720785854326957</c:v>
                </c:pt>
                <c:pt idx="8">
                  <c:v>0.45311640063982428</c:v>
                </c:pt>
                <c:pt idx="9">
                  <c:v>-6.4950695307479989E-2</c:v>
                </c:pt>
                <c:pt idx="10">
                  <c:v>0.11675790303714439</c:v>
                </c:pt>
                <c:pt idx="11">
                  <c:v>0.3891616401936292</c:v>
                </c:pt>
                <c:pt idx="12">
                  <c:v>-1.0879989380911059E-2</c:v>
                </c:pt>
                <c:pt idx="13">
                  <c:v>0.36373482144076763</c:v>
                </c:pt>
                <c:pt idx="14">
                  <c:v>-3.0720186575594277E-2</c:v>
                </c:pt>
                <c:pt idx="15">
                  <c:v>-0.23443360430874505</c:v>
                </c:pt>
                <c:pt idx="16">
                  <c:v>0.12184461905421426</c:v>
                </c:pt>
                <c:pt idx="17">
                  <c:v>9.6695844293062772E-2</c:v>
                </c:pt>
                <c:pt idx="18">
                  <c:v>8.5080194120215336E-3</c:v>
                </c:pt>
                <c:pt idx="19">
                  <c:v>-3.6823644280789658E-2</c:v>
                </c:pt>
                <c:pt idx="20">
                  <c:v>0.16568857872418075</c:v>
                </c:pt>
                <c:pt idx="21">
                  <c:v>-0.13620908329426107</c:v>
                </c:pt>
                <c:pt idx="22">
                  <c:v>0.42566913600398171</c:v>
                </c:pt>
                <c:pt idx="23">
                  <c:v>-6.6619984150530151E-2</c:v>
                </c:pt>
                <c:pt idx="24">
                  <c:v>0.26509838875372566</c:v>
                </c:pt>
                <c:pt idx="25">
                  <c:v>0.40175336739724909</c:v>
                </c:pt>
                <c:pt idx="26">
                  <c:v>-0.12988936112277261</c:v>
                </c:pt>
                <c:pt idx="27">
                  <c:v>-0.15225277796139447</c:v>
                </c:pt>
                <c:pt idx="28">
                  <c:v>-0.10566373709809118</c:v>
                </c:pt>
                <c:pt idx="29">
                  <c:v>-0.15904905955070747</c:v>
                </c:pt>
                <c:pt idx="30">
                  <c:v>-0.48195630206577433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6D-4A54-8084-24811535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95168"/>
        <c:axId val="132696704"/>
      </c:scatterChart>
      <c:valAx>
        <c:axId val="132695168"/>
        <c:scaling>
          <c:orientation val="minMax"/>
          <c:max val="3"/>
          <c:min val="-3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696704"/>
        <c:crosses val="autoZero"/>
        <c:crossBetween val="midCat"/>
      </c:valAx>
      <c:valAx>
        <c:axId val="132696704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695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регрессии)'!$S$36:$S$66</c:f>
              <c:numCache>
                <c:formatCode>0.0000</c:formatCode>
                <c:ptCount val="31"/>
                <c:pt idx="0">
                  <c:v>-2.0462908390959567</c:v>
                </c:pt>
                <c:pt idx="1">
                  <c:v>-1.9062455783031789</c:v>
                </c:pt>
                <c:pt idx="2">
                  <c:v>-1.9255565376797037</c:v>
                </c:pt>
                <c:pt idx="3">
                  <c:v>-1.386480825320751</c:v>
                </c:pt>
                <c:pt idx="4">
                  <c:v>-1.7926409611283649</c:v>
                </c:pt>
                <c:pt idx="5">
                  <c:v>-1.7971398517728807</c:v>
                </c:pt>
                <c:pt idx="6">
                  <c:v>-0.97912935641444432</c:v>
                </c:pt>
                <c:pt idx="7">
                  <c:v>-0.66668322759233467</c:v>
                </c:pt>
                <c:pt idx="8">
                  <c:v>-0.63761179037744864</c:v>
                </c:pt>
                <c:pt idx="9">
                  <c:v>-0.75021168322961318</c:v>
                </c:pt>
                <c:pt idx="10">
                  <c:v>-0.54601273954571594</c:v>
                </c:pt>
                <c:pt idx="11">
                  <c:v>-0.28630171502896895</c:v>
                </c:pt>
                <c:pt idx="12">
                  <c:v>-0.62795198871470204</c:v>
                </c:pt>
                <c:pt idx="13">
                  <c:v>-3.1889140512048247E-2</c:v>
                </c:pt>
                <c:pt idx="14">
                  <c:v>-0.33304939839713832</c:v>
                </c:pt>
                <c:pt idx="15">
                  <c:v>-0.16716653232333678</c:v>
                </c:pt>
                <c:pt idx="16">
                  <c:v>0.35558519348677498</c:v>
                </c:pt>
                <c:pt idx="17">
                  <c:v>0.41463694739643997</c:v>
                </c:pt>
                <c:pt idx="18">
                  <c:v>0.48380535837522715</c:v>
                </c:pt>
                <c:pt idx="19">
                  <c:v>0.63789999135068398</c:v>
                </c:pt>
                <c:pt idx="20">
                  <c:v>0.75155494661330524</c:v>
                </c:pt>
                <c:pt idx="21">
                  <c:v>0.51940344149461226</c:v>
                </c:pt>
                <c:pt idx="22">
                  <c:v>0.99645390239804299</c:v>
                </c:pt>
                <c:pt idx="23">
                  <c:v>0.75413540212242058</c:v>
                </c:pt>
                <c:pt idx="24">
                  <c:v>0.97673642570294994</c:v>
                </c:pt>
                <c:pt idx="25">
                  <c:v>1.1396691817550488</c:v>
                </c:pt>
                <c:pt idx="26">
                  <c:v>1.5051648999744436</c:v>
                </c:pt>
                <c:pt idx="27">
                  <c:v>1.4935363250884894</c:v>
                </c:pt>
                <c:pt idx="28">
                  <c:v>1.5302901467939458</c:v>
                </c:pt>
                <c:pt idx="29">
                  <c:v>1.8077498747825778</c:v>
                </c:pt>
                <c:pt idx="30">
                  <c:v>2.5137401281016345</c:v>
                </c:pt>
              </c:numCache>
            </c:numRef>
          </c:xVal>
          <c:yVal>
            <c:numRef>
              <c:f>'Диагр расс (в плоск регрессии)'!$R$36:$R$66</c:f>
              <c:numCache>
                <c:formatCode>0.0000</c:formatCode>
                <c:ptCount val="31"/>
                <c:pt idx="0">
                  <c:v>0.22756201291346778</c:v>
                </c:pt>
                <c:pt idx="1">
                  <c:v>0.44673393260178662</c:v>
                </c:pt>
                <c:pt idx="2">
                  <c:v>0.89731484096608527</c:v>
                </c:pt>
                <c:pt idx="3">
                  <c:v>-2.265450935398869</c:v>
                </c:pt>
                <c:pt idx="4">
                  <c:v>0.78284025847178795</c:v>
                </c:pt>
                <c:pt idx="5">
                  <c:v>0.95924144688767554</c:v>
                </c:pt>
                <c:pt idx="6">
                  <c:v>-0.60853416267213412</c:v>
                </c:pt>
                <c:pt idx="7">
                  <c:v>1.2440961698037443</c:v>
                </c:pt>
                <c:pt idx="8">
                  <c:v>1.6372094542205655</c:v>
                </c:pt>
                <c:pt idx="9">
                  <c:v>-2.0344405626742819</c:v>
                </c:pt>
                <c:pt idx="10">
                  <c:v>-2.1269908657896575</c:v>
                </c:pt>
                <c:pt idx="11">
                  <c:v>-1.9433622906698944</c:v>
                </c:pt>
                <c:pt idx="12">
                  <c:v>1.0283054046041262</c:v>
                </c:pt>
                <c:pt idx="13">
                  <c:v>-0.19158747549867905</c:v>
                </c:pt>
                <c:pt idx="14">
                  <c:v>1.1924695240323528</c:v>
                </c:pt>
                <c:pt idx="15">
                  <c:v>1.5098806406538525</c:v>
                </c:pt>
                <c:pt idx="16">
                  <c:v>-0.45715781254124155</c:v>
                </c:pt>
                <c:pt idx="17">
                  <c:v>-0.37730524381418473</c:v>
                </c:pt>
                <c:pt idx="18">
                  <c:v>0.78134024190104978</c:v>
                </c:pt>
                <c:pt idx="19">
                  <c:v>-0.47016412797193752</c:v>
                </c:pt>
                <c:pt idx="20">
                  <c:v>0.5922413190968433</c:v>
                </c:pt>
                <c:pt idx="21">
                  <c:v>1.723273631615351</c:v>
                </c:pt>
                <c:pt idx="22">
                  <c:v>1.0500496141650173</c:v>
                </c:pt>
                <c:pt idx="23">
                  <c:v>0.37598988849656756</c:v>
                </c:pt>
                <c:pt idx="24">
                  <c:v>0.53923267712347867</c:v>
                </c:pt>
                <c:pt idx="25">
                  <c:v>-2.4767442423090431</c:v>
                </c:pt>
                <c:pt idx="26">
                  <c:v>-0.2135397403373504</c:v>
                </c:pt>
                <c:pt idx="27">
                  <c:v>-0.37078505410407891</c:v>
                </c:pt>
                <c:pt idx="28">
                  <c:v>-0.58549799181828488</c:v>
                </c:pt>
                <c:pt idx="29">
                  <c:v>-0.65720184304015095</c:v>
                </c:pt>
                <c:pt idx="30">
                  <c:v>-0.20901870891397223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B-4299-A2E9-7A02562F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08224"/>
        <c:axId val="132709760"/>
      </c:scatterChart>
      <c:valAx>
        <c:axId val="132708224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709760"/>
        <c:crosses val="autoZero"/>
        <c:crossBetween val="midCat"/>
      </c:valAx>
      <c:valAx>
        <c:axId val="132709760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708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регрессии)'!$R$36:$R$66</c:f>
              <c:numCache>
                <c:formatCode>0.0000</c:formatCode>
                <c:ptCount val="31"/>
                <c:pt idx="0">
                  <c:v>0.22756201291346778</c:v>
                </c:pt>
                <c:pt idx="1">
                  <c:v>0.44673393260178662</c:v>
                </c:pt>
                <c:pt idx="2">
                  <c:v>0.89731484096608527</c:v>
                </c:pt>
                <c:pt idx="3">
                  <c:v>-2.265450935398869</c:v>
                </c:pt>
                <c:pt idx="4">
                  <c:v>0.78284025847178795</c:v>
                </c:pt>
                <c:pt idx="5">
                  <c:v>0.95924144688767554</c:v>
                </c:pt>
                <c:pt idx="6">
                  <c:v>-0.60853416267213412</c:v>
                </c:pt>
                <c:pt idx="7">
                  <c:v>1.2440961698037443</c:v>
                </c:pt>
                <c:pt idx="8">
                  <c:v>1.6372094542205655</c:v>
                </c:pt>
                <c:pt idx="9">
                  <c:v>-2.0344405626742819</c:v>
                </c:pt>
                <c:pt idx="10">
                  <c:v>-2.1269908657896575</c:v>
                </c:pt>
                <c:pt idx="11">
                  <c:v>-1.9433622906698944</c:v>
                </c:pt>
                <c:pt idx="12">
                  <c:v>1.0283054046041262</c:v>
                </c:pt>
                <c:pt idx="13">
                  <c:v>-0.19158747549867905</c:v>
                </c:pt>
                <c:pt idx="14">
                  <c:v>1.1924695240323528</c:v>
                </c:pt>
                <c:pt idx="15">
                  <c:v>1.5098806406538525</c:v>
                </c:pt>
                <c:pt idx="16">
                  <c:v>-0.45715781254124155</c:v>
                </c:pt>
                <c:pt idx="17">
                  <c:v>-0.37730524381418473</c:v>
                </c:pt>
                <c:pt idx="18">
                  <c:v>0.78134024190104978</c:v>
                </c:pt>
                <c:pt idx="19">
                  <c:v>-0.47016412797193752</c:v>
                </c:pt>
                <c:pt idx="20">
                  <c:v>0.5922413190968433</c:v>
                </c:pt>
                <c:pt idx="21">
                  <c:v>1.723273631615351</c:v>
                </c:pt>
                <c:pt idx="22">
                  <c:v>1.0500496141650173</c:v>
                </c:pt>
                <c:pt idx="23">
                  <c:v>0.37598988849656756</c:v>
                </c:pt>
                <c:pt idx="24">
                  <c:v>0.53923267712347867</c:v>
                </c:pt>
                <c:pt idx="25">
                  <c:v>-2.4767442423090431</c:v>
                </c:pt>
                <c:pt idx="26">
                  <c:v>-0.2135397403373504</c:v>
                </c:pt>
                <c:pt idx="27">
                  <c:v>-0.37078505410407891</c:v>
                </c:pt>
                <c:pt idx="28">
                  <c:v>-0.58549799181828488</c:v>
                </c:pt>
                <c:pt idx="29">
                  <c:v>-0.65720184304015095</c:v>
                </c:pt>
                <c:pt idx="30">
                  <c:v>-0.20901870891397223</c:v>
                </c:pt>
              </c:numCache>
            </c:numRef>
          </c:xVal>
          <c:yVal>
            <c:numRef>
              <c:f>'Диагр расс (в плоск регрессии)'!$Q$36:$Q$66</c:f>
              <c:numCache>
                <c:formatCode>0.0000</c:formatCode>
                <c:ptCount val="31"/>
                <c:pt idx="0">
                  <c:v>-0.28622172607374197</c:v>
                </c:pt>
                <c:pt idx="1">
                  <c:v>-0.30235341460942544</c:v>
                </c:pt>
                <c:pt idx="2">
                  <c:v>-0.31539733021479577</c:v>
                </c:pt>
                <c:pt idx="3">
                  <c:v>0.13870653998335875</c:v>
                </c:pt>
                <c:pt idx="4">
                  <c:v>-0.35327169986041507</c:v>
                </c:pt>
                <c:pt idx="5">
                  <c:v>-0.35389243558910144</c:v>
                </c:pt>
                <c:pt idx="6">
                  <c:v>-0.12335808603189974</c:v>
                </c:pt>
                <c:pt idx="7">
                  <c:v>0.39720785854326957</c:v>
                </c:pt>
                <c:pt idx="8">
                  <c:v>0.45311640063982428</c:v>
                </c:pt>
                <c:pt idx="9">
                  <c:v>-6.4950695307479989E-2</c:v>
                </c:pt>
                <c:pt idx="10">
                  <c:v>0.11675790303714439</c:v>
                </c:pt>
                <c:pt idx="11">
                  <c:v>0.3891616401936292</c:v>
                </c:pt>
                <c:pt idx="12">
                  <c:v>-1.0879989380911059E-2</c:v>
                </c:pt>
                <c:pt idx="13">
                  <c:v>0.36373482144076763</c:v>
                </c:pt>
                <c:pt idx="14">
                  <c:v>-3.0720186575594277E-2</c:v>
                </c:pt>
                <c:pt idx="15">
                  <c:v>-0.23443360430874505</c:v>
                </c:pt>
                <c:pt idx="16">
                  <c:v>0.12184461905421426</c:v>
                </c:pt>
                <c:pt idx="17">
                  <c:v>9.6695844293062772E-2</c:v>
                </c:pt>
                <c:pt idx="18">
                  <c:v>8.5080194120215336E-3</c:v>
                </c:pt>
                <c:pt idx="19">
                  <c:v>-3.6823644280789658E-2</c:v>
                </c:pt>
                <c:pt idx="20">
                  <c:v>0.16568857872418075</c:v>
                </c:pt>
                <c:pt idx="21">
                  <c:v>-0.13620908329426107</c:v>
                </c:pt>
                <c:pt idx="22">
                  <c:v>0.42566913600398171</c:v>
                </c:pt>
                <c:pt idx="23">
                  <c:v>-6.6619984150530151E-2</c:v>
                </c:pt>
                <c:pt idx="24">
                  <c:v>0.26509838875372566</c:v>
                </c:pt>
                <c:pt idx="25">
                  <c:v>0.40175336739724909</c:v>
                </c:pt>
                <c:pt idx="26">
                  <c:v>-0.12988936112277261</c:v>
                </c:pt>
                <c:pt idx="27">
                  <c:v>-0.15225277796139447</c:v>
                </c:pt>
                <c:pt idx="28">
                  <c:v>-0.10566373709809118</c:v>
                </c:pt>
                <c:pt idx="29">
                  <c:v>-0.15904905955070747</c:v>
                </c:pt>
                <c:pt idx="30">
                  <c:v>-0.48195630206577433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2-426B-A604-CCFF21AA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99104"/>
        <c:axId val="132800896"/>
      </c:scatterChart>
      <c:valAx>
        <c:axId val="132799104"/>
        <c:scaling>
          <c:orientation val="minMax"/>
          <c:max val="3"/>
          <c:min val="-3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00896"/>
        <c:crosses val="autoZero"/>
        <c:crossBetween val="midCat"/>
      </c:valAx>
      <c:valAx>
        <c:axId val="132800896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noFill/>
          <a:ln w="22225">
            <a:solidFill>
              <a:schemeClr val="tx1"/>
            </a:solidFill>
          </a:ln>
        </c:spPr>
        <c:crossAx val="132799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3395941495014E-2"/>
          <c:y val="6.168066491688539E-2"/>
          <c:w val="0.87107121143281496"/>
          <c:h val="0.8766386701662292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регрессии)'!$C$71:$C$101</c:f>
              <c:numCache>
                <c:formatCode>0.00</c:formatCode>
                <c:ptCount val="31"/>
                <c:pt idx="0">
                  <c:v>-1.5242685055130696</c:v>
                </c:pt>
                <c:pt idx="1">
                  <c:v>-1.3953399279662615</c:v>
                </c:pt>
                <c:pt idx="2">
                  <c:v>-1.3953399279662615</c:v>
                </c:pt>
                <c:pt idx="3">
                  <c:v>-1.2664113504194534</c:v>
                </c:pt>
                <c:pt idx="4">
                  <c:v>-1.2664113504194534</c:v>
                </c:pt>
                <c:pt idx="5">
                  <c:v>-1.2664113504194534</c:v>
                </c:pt>
                <c:pt idx="6">
                  <c:v>-0.75069704023222106</c:v>
                </c:pt>
                <c:pt idx="7">
                  <c:v>-0.75069704023222106</c:v>
                </c:pt>
                <c:pt idx="8">
                  <c:v>-0.75069704023222106</c:v>
                </c:pt>
                <c:pt idx="9">
                  <c:v>-0.62176846268541297</c:v>
                </c:pt>
                <c:pt idx="10">
                  <c:v>-0.55730417391200893</c:v>
                </c:pt>
                <c:pt idx="11">
                  <c:v>-0.49283988513860483</c:v>
                </c:pt>
                <c:pt idx="12">
                  <c:v>-0.49283988513860483</c:v>
                </c:pt>
                <c:pt idx="13">
                  <c:v>-0.23498273004498865</c:v>
                </c:pt>
                <c:pt idx="14">
                  <c:v>-0.23498273004498865</c:v>
                </c:pt>
                <c:pt idx="15">
                  <c:v>2.2874425048627547E-2</c:v>
                </c:pt>
                <c:pt idx="16">
                  <c:v>0.21626729136883968</c:v>
                </c:pt>
                <c:pt idx="17">
                  <c:v>0.28073158014224375</c:v>
                </c:pt>
                <c:pt idx="18">
                  <c:v>0.40966015768905184</c:v>
                </c:pt>
                <c:pt idx="19">
                  <c:v>0.53858873523585993</c:v>
                </c:pt>
                <c:pt idx="20">
                  <c:v>0.53858873523585993</c:v>
                </c:pt>
                <c:pt idx="21">
                  <c:v>0.53858873523585993</c:v>
                </c:pt>
                <c:pt idx="22">
                  <c:v>0.60305302400926397</c:v>
                </c:pt>
                <c:pt idx="23">
                  <c:v>0.66751731278266802</c:v>
                </c:pt>
                <c:pt idx="24">
                  <c:v>0.66751731278266802</c:v>
                </c:pt>
                <c:pt idx="25">
                  <c:v>0.66751731278266802</c:v>
                </c:pt>
                <c:pt idx="26">
                  <c:v>1.3121602005167086</c:v>
                </c:pt>
                <c:pt idx="27">
                  <c:v>1.3121602005167086</c:v>
                </c:pt>
                <c:pt idx="28">
                  <c:v>1.3121602005167086</c:v>
                </c:pt>
                <c:pt idx="29">
                  <c:v>1.5700173556103247</c:v>
                </c:pt>
                <c:pt idx="30">
                  <c:v>2.3435888208911733</c:v>
                </c:pt>
              </c:numCache>
            </c:numRef>
          </c:xVal>
          <c:yVal>
            <c:numRef>
              <c:f>'Диагр расс (в плоск регрессии)'!$B$71:$B$101</c:f>
              <c:numCache>
                <c:formatCode>0.00</c:formatCode>
                <c:ptCount val="31"/>
                <c:pt idx="0">
                  <c:v>1.2927130093746126</c:v>
                </c:pt>
                <c:pt idx="1">
                  <c:v>1.3606928283578408</c:v>
                </c:pt>
                <c:pt idx="2">
                  <c:v>1.6326121042907533</c:v>
                </c:pt>
                <c:pt idx="3">
                  <c:v>-0.71269165063061768</c:v>
                </c:pt>
                <c:pt idx="4">
                  <c:v>1.5306423758159111</c:v>
                </c:pt>
                <c:pt idx="5">
                  <c:v>1.6326121042907533</c:v>
                </c:pt>
                <c:pt idx="6">
                  <c:v>0.20503590564296229</c:v>
                </c:pt>
                <c:pt idx="7">
                  <c:v>0.74887445750878745</c:v>
                </c:pt>
                <c:pt idx="8">
                  <c:v>0.9188240049668579</c:v>
                </c:pt>
                <c:pt idx="9">
                  <c:v>-0.74668156012223175</c:v>
                </c:pt>
                <c:pt idx="10">
                  <c:v>-1.0186008360551444</c:v>
                </c:pt>
                <c:pt idx="11">
                  <c:v>-1.2225402930048288</c:v>
                </c:pt>
                <c:pt idx="12">
                  <c:v>0.88483409547524383</c:v>
                </c:pt>
                <c:pt idx="13">
                  <c:v>-0.33880264622286288</c:v>
                </c:pt>
                <c:pt idx="14">
                  <c:v>0.85084418598362965</c:v>
                </c:pt>
                <c:pt idx="15">
                  <c:v>1.0887735524249282</c:v>
                </c:pt>
                <c:pt idx="16">
                  <c:v>-0.50875219368093327</c:v>
                </c:pt>
                <c:pt idx="17">
                  <c:v>-0.47476228418931921</c:v>
                </c:pt>
                <c:pt idx="18">
                  <c:v>0.20503590564296229</c:v>
                </c:pt>
                <c:pt idx="19">
                  <c:v>-0.54274210317254734</c:v>
                </c:pt>
                <c:pt idx="20">
                  <c:v>-0.13486318927317845</c:v>
                </c:pt>
                <c:pt idx="21">
                  <c:v>0.81685427649201559</c:v>
                </c:pt>
                <c:pt idx="22">
                  <c:v>-0.16885309876479254</c:v>
                </c:pt>
                <c:pt idx="23">
                  <c:v>-0.10087327978156438</c:v>
                </c:pt>
                <c:pt idx="24">
                  <c:v>-0.33880264622286288</c:v>
                </c:pt>
                <c:pt idx="25">
                  <c:v>-2.2082476682616372</c:v>
                </c:pt>
                <c:pt idx="26">
                  <c:v>-0.74668156012223175</c:v>
                </c:pt>
                <c:pt idx="27">
                  <c:v>-0.81466137910545999</c:v>
                </c:pt>
                <c:pt idx="28">
                  <c:v>-0.98461092656353033</c:v>
                </c:pt>
                <c:pt idx="29">
                  <c:v>-1.1205705645299866</c:v>
                </c:pt>
                <c:pt idx="30">
                  <c:v>-0.98461092656353033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B-4F61-902E-1503F2C5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064"/>
        <c:axId val="132834432"/>
      </c:scatterChart>
      <c:valAx>
        <c:axId val="132808064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34432"/>
        <c:crosses val="autoZero"/>
        <c:crossBetween val="midCat"/>
      </c:valAx>
      <c:valAx>
        <c:axId val="132834432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3280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82390188693595E-2"/>
          <c:y val="6.168066491688539E-2"/>
          <c:w val="0.86542278065907152"/>
          <c:h val="0.876066626287098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регрессии)'!$D$71:$D$101</c:f>
              <c:numCache>
                <c:formatCode>0.00</c:formatCode>
                <c:ptCount val="31"/>
                <c:pt idx="0">
                  <c:v>-0.5714124104886793</c:v>
                </c:pt>
                <c:pt idx="1">
                  <c:v>-0.35539064554783717</c:v>
                </c:pt>
                <c:pt idx="2">
                  <c:v>4.6456293535663646E-3</c:v>
                </c:pt>
                <c:pt idx="3">
                  <c:v>-2.2275792750351355</c:v>
                </c:pt>
                <c:pt idx="4">
                  <c:v>-6.7361625626714342E-2</c:v>
                </c:pt>
                <c:pt idx="5">
                  <c:v>7.6652884333847066E-2</c:v>
                </c:pt>
                <c:pt idx="6">
                  <c:v>-0.85944143040980203</c:v>
                </c:pt>
                <c:pt idx="7">
                  <c:v>1.0127471990774961</c:v>
                </c:pt>
                <c:pt idx="8">
                  <c:v>1.3727834739788998</c:v>
                </c:pt>
                <c:pt idx="9">
                  <c:v>-1.9395502551140127</c:v>
                </c:pt>
                <c:pt idx="10">
                  <c:v>-1.8675430001337319</c:v>
                </c:pt>
                <c:pt idx="11">
                  <c:v>-1.5075067252323284</c:v>
                </c:pt>
                <c:pt idx="12">
                  <c:v>0.65271092417609267</c:v>
                </c:pt>
                <c:pt idx="13">
                  <c:v>4.6456293535663646E-3</c:v>
                </c:pt>
                <c:pt idx="14">
                  <c:v>0.8687326891169348</c:v>
                </c:pt>
                <c:pt idx="15">
                  <c:v>1.0847544540577769</c:v>
                </c:pt>
                <c:pt idx="16">
                  <c:v>-0.21137613558727575</c:v>
                </c:pt>
                <c:pt idx="17">
                  <c:v>-0.13936888060699504</c:v>
                </c:pt>
                <c:pt idx="18">
                  <c:v>0.79672543413665409</c:v>
                </c:pt>
                <c:pt idx="19">
                  <c:v>-0.21137613558727575</c:v>
                </c:pt>
                <c:pt idx="20">
                  <c:v>0.79672543413665409</c:v>
                </c:pt>
                <c:pt idx="21">
                  <c:v>1.5167979839394612</c:v>
                </c:pt>
                <c:pt idx="22">
                  <c:v>1.3727834739788998</c:v>
                </c:pt>
                <c:pt idx="23">
                  <c:v>0.50869641421553125</c:v>
                </c:pt>
                <c:pt idx="24">
                  <c:v>0.8687326891169348</c:v>
                </c:pt>
                <c:pt idx="25">
                  <c:v>-1.5075067252323284</c:v>
                </c:pt>
                <c:pt idx="26">
                  <c:v>0.22066739429440849</c:v>
                </c:pt>
                <c:pt idx="27">
                  <c:v>7.6652884333847066E-2</c:v>
                </c:pt>
                <c:pt idx="28">
                  <c:v>-6.7361625626714342E-2</c:v>
                </c:pt>
                <c:pt idx="29">
                  <c:v>-6.7361625626714342E-2</c:v>
                </c:pt>
                <c:pt idx="30">
                  <c:v>0.36468190425496988</c:v>
                </c:pt>
              </c:numCache>
            </c:numRef>
          </c:xVal>
          <c:yVal>
            <c:numRef>
              <c:f>'Диагр расс (в плоск регрессии)'!$B$71:$B$101</c:f>
              <c:numCache>
                <c:formatCode>0.00</c:formatCode>
                <c:ptCount val="31"/>
                <c:pt idx="0">
                  <c:v>1.2927130093746126</c:v>
                </c:pt>
                <c:pt idx="1">
                  <c:v>1.3606928283578408</c:v>
                </c:pt>
                <c:pt idx="2">
                  <c:v>1.6326121042907533</c:v>
                </c:pt>
                <c:pt idx="3">
                  <c:v>-0.71269165063061768</c:v>
                </c:pt>
                <c:pt idx="4">
                  <c:v>1.5306423758159111</c:v>
                </c:pt>
                <c:pt idx="5">
                  <c:v>1.6326121042907533</c:v>
                </c:pt>
                <c:pt idx="6">
                  <c:v>0.20503590564296229</c:v>
                </c:pt>
                <c:pt idx="7">
                  <c:v>0.74887445750878745</c:v>
                </c:pt>
                <c:pt idx="8">
                  <c:v>0.9188240049668579</c:v>
                </c:pt>
                <c:pt idx="9">
                  <c:v>-0.74668156012223175</c:v>
                </c:pt>
                <c:pt idx="10">
                  <c:v>-1.0186008360551444</c:v>
                </c:pt>
                <c:pt idx="11">
                  <c:v>-1.2225402930048288</c:v>
                </c:pt>
                <c:pt idx="12">
                  <c:v>0.88483409547524383</c:v>
                </c:pt>
                <c:pt idx="13">
                  <c:v>-0.33880264622286288</c:v>
                </c:pt>
                <c:pt idx="14">
                  <c:v>0.85084418598362965</c:v>
                </c:pt>
                <c:pt idx="15">
                  <c:v>1.0887735524249282</c:v>
                </c:pt>
                <c:pt idx="16">
                  <c:v>-0.50875219368093327</c:v>
                </c:pt>
                <c:pt idx="17">
                  <c:v>-0.47476228418931921</c:v>
                </c:pt>
                <c:pt idx="18">
                  <c:v>0.20503590564296229</c:v>
                </c:pt>
                <c:pt idx="19">
                  <c:v>-0.54274210317254734</c:v>
                </c:pt>
                <c:pt idx="20">
                  <c:v>-0.13486318927317845</c:v>
                </c:pt>
                <c:pt idx="21">
                  <c:v>0.81685427649201559</c:v>
                </c:pt>
                <c:pt idx="22">
                  <c:v>-0.16885309876479254</c:v>
                </c:pt>
                <c:pt idx="23">
                  <c:v>-0.10087327978156438</c:v>
                </c:pt>
                <c:pt idx="24">
                  <c:v>-0.33880264622286288</c:v>
                </c:pt>
                <c:pt idx="25">
                  <c:v>-2.2082476682616372</c:v>
                </c:pt>
                <c:pt idx="26">
                  <c:v>-0.74668156012223175</c:v>
                </c:pt>
                <c:pt idx="27">
                  <c:v>-0.81466137910545999</c:v>
                </c:pt>
                <c:pt idx="28">
                  <c:v>-0.98461092656353033</c:v>
                </c:pt>
                <c:pt idx="29">
                  <c:v>-1.1205705645299866</c:v>
                </c:pt>
                <c:pt idx="30">
                  <c:v>-0.98461092656353033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E3-4EB5-959C-941FF9D5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62720"/>
        <c:axId val="132864256"/>
      </c:scatterChart>
      <c:valAx>
        <c:axId val="132862720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64256"/>
        <c:crosses val="autoZero"/>
        <c:crossBetween val="midCat"/>
      </c:valAx>
      <c:valAx>
        <c:axId val="132864256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62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71154390310732E-2"/>
          <c:y val="5.6935998384817284E-2"/>
          <c:w val="0.84729704756915181"/>
          <c:h val="0.881260650111043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 расс (в плоск регрессии)'!$C$71:$C$101</c:f>
              <c:numCache>
                <c:formatCode>0.00</c:formatCode>
                <c:ptCount val="31"/>
                <c:pt idx="0">
                  <c:v>-1.5242685055130696</c:v>
                </c:pt>
                <c:pt idx="1">
                  <c:v>-1.3953399279662615</c:v>
                </c:pt>
                <c:pt idx="2">
                  <c:v>-1.3953399279662615</c:v>
                </c:pt>
                <c:pt idx="3">
                  <c:v>-1.2664113504194534</c:v>
                </c:pt>
                <c:pt idx="4">
                  <c:v>-1.2664113504194534</c:v>
                </c:pt>
                <c:pt idx="5">
                  <c:v>-1.2664113504194534</c:v>
                </c:pt>
                <c:pt idx="6">
                  <c:v>-0.75069704023222106</c:v>
                </c:pt>
                <c:pt idx="7">
                  <c:v>-0.75069704023222106</c:v>
                </c:pt>
                <c:pt idx="8">
                  <c:v>-0.75069704023222106</c:v>
                </c:pt>
                <c:pt idx="9">
                  <c:v>-0.62176846268541297</c:v>
                </c:pt>
                <c:pt idx="10">
                  <c:v>-0.55730417391200893</c:v>
                </c:pt>
                <c:pt idx="11">
                  <c:v>-0.49283988513860483</c:v>
                </c:pt>
                <c:pt idx="12">
                  <c:v>-0.49283988513860483</c:v>
                </c:pt>
                <c:pt idx="13">
                  <c:v>-0.23498273004498865</c:v>
                </c:pt>
                <c:pt idx="14">
                  <c:v>-0.23498273004498865</c:v>
                </c:pt>
                <c:pt idx="15">
                  <c:v>2.2874425048627547E-2</c:v>
                </c:pt>
                <c:pt idx="16">
                  <c:v>0.21626729136883968</c:v>
                </c:pt>
                <c:pt idx="17">
                  <c:v>0.28073158014224375</c:v>
                </c:pt>
                <c:pt idx="18">
                  <c:v>0.40966015768905184</c:v>
                </c:pt>
                <c:pt idx="19">
                  <c:v>0.53858873523585993</c:v>
                </c:pt>
                <c:pt idx="20">
                  <c:v>0.53858873523585993</c:v>
                </c:pt>
                <c:pt idx="21">
                  <c:v>0.53858873523585993</c:v>
                </c:pt>
                <c:pt idx="22">
                  <c:v>0.60305302400926397</c:v>
                </c:pt>
                <c:pt idx="23">
                  <c:v>0.66751731278266802</c:v>
                </c:pt>
                <c:pt idx="24">
                  <c:v>0.66751731278266802</c:v>
                </c:pt>
                <c:pt idx="25">
                  <c:v>0.66751731278266802</c:v>
                </c:pt>
                <c:pt idx="26">
                  <c:v>1.3121602005167086</c:v>
                </c:pt>
                <c:pt idx="27">
                  <c:v>1.3121602005167086</c:v>
                </c:pt>
                <c:pt idx="28">
                  <c:v>1.3121602005167086</c:v>
                </c:pt>
                <c:pt idx="29">
                  <c:v>1.5700173556103247</c:v>
                </c:pt>
                <c:pt idx="30">
                  <c:v>2.3435888208911733</c:v>
                </c:pt>
              </c:numCache>
            </c:numRef>
          </c:xVal>
          <c:yVal>
            <c:numRef>
              <c:f>'Диагр расс (в плоск регрессии)'!$D$71:$D$101</c:f>
              <c:numCache>
                <c:formatCode>0.00</c:formatCode>
                <c:ptCount val="31"/>
                <c:pt idx="0">
                  <c:v>-0.5714124104886793</c:v>
                </c:pt>
                <c:pt idx="1">
                  <c:v>-0.35539064554783717</c:v>
                </c:pt>
                <c:pt idx="2">
                  <c:v>4.6456293535663646E-3</c:v>
                </c:pt>
                <c:pt idx="3">
                  <c:v>-2.2275792750351355</c:v>
                </c:pt>
                <c:pt idx="4">
                  <c:v>-6.7361625626714342E-2</c:v>
                </c:pt>
                <c:pt idx="5">
                  <c:v>7.6652884333847066E-2</c:v>
                </c:pt>
                <c:pt idx="6">
                  <c:v>-0.85944143040980203</c:v>
                </c:pt>
                <c:pt idx="7">
                  <c:v>1.0127471990774961</c:v>
                </c:pt>
                <c:pt idx="8">
                  <c:v>1.3727834739788998</c:v>
                </c:pt>
                <c:pt idx="9">
                  <c:v>-1.9395502551140127</c:v>
                </c:pt>
                <c:pt idx="10">
                  <c:v>-1.8675430001337319</c:v>
                </c:pt>
                <c:pt idx="11">
                  <c:v>-1.5075067252323284</c:v>
                </c:pt>
                <c:pt idx="12">
                  <c:v>0.65271092417609267</c:v>
                </c:pt>
                <c:pt idx="13">
                  <c:v>4.6456293535663646E-3</c:v>
                </c:pt>
                <c:pt idx="14">
                  <c:v>0.8687326891169348</c:v>
                </c:pt>
                <c:pt idx="15">
                  <c:v>1.0847544540577769</c:v>
                </c:pt>
                <c:pt idx="16">
                  <c:v>-0.21137613558727575</c:v>
                </c:pt>
                <c:pt idx="17">
                  <c:v>-0.13936888060699504</c:v>
                </c:pt>
                <c:pt idx="18">
                  <c:v>0.79672543413665409</c:v>
                </c:pt>
                <c:pt idx="19">
                  <c:v>-0.21137613558727575</c:v>
                </c:pt>
                <c:pt idx="20">
                  <c:v>0.79672543413665409</c:v>
                </c:pt>
                <c:pt idx="21">
                  <c:v>1.5167979839394612</c:v>
                </c:pt>
                <c:pt idx="22">
                  <c:v>1.3727834739788998</c:v>
                </c:pt>
                <c:pt idx="23">
                  <c:v>0.50869641421553125</c:v>
                </c:pt>
                <c:pt idx="24">
                  <c:v>0.8687326891169348</c:v>
                </c:pt>
                <c:pt idx="25">
                  <c:v>-1.5075067252323284</c:v>
                </c:pt>
                <c:pt idx="26">
                  <c:v>0.22066739429440849</c:v>
                </c:pt>
                <c:pt idx="27">
                  <c:v>7.6652884333847066E-2</c:v>
                </c:pt>
                <c:pt idx="28">
                  <c:v>-6.7361625626714342E-2</c:v>
                </c:pt>
                <c:pt idx="29">
                  <c:v>-6.7361625626714342E-2</c:v>
                </c:pt>
                <c:pt idx="30">
                  <c:v>0.36468190425496988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E-4489-9779-A09FAD0F3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88064"/>
        <c:axId val="132889600"/>
      </c:scatterChart>
      <c:valAx>
        <c:axId val="132888064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89600"/>
        <c:crosses val="autoZero"/>
        <c:crossBetween val="midCat"/>
      </c:valAx>
      <c:valAx>
        <c:axId val="132889600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8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19931102362193E-2"/>
          <c:y val="6.168066491688539E-2"/>
          <c:w val="0.80457923228346462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Тренд!$D$31:$D$55</c:f>
              <c:numCache>
                <c:formatCode>0.00</c:formatCode>
                <c:ptCount val="25"/>
                <c:pt idx="0">
                  <c:v>0</c:v>
                </c:pt>
                <c:pt idx="1">
                  <c:v>0.18117333157176452</c:v>
                </c:pt>
                <c:pt idx="2">
                  <c:v>0.34999999999999992</c:v>
                </c:pt>
                <c:pt idx="3">
                  <c:v>0.49497474683058318</c:v>
                </c:pt>
                <c:pt idx="4">
                  <c:v>0.60621778264910697</c:v>
                </c:pt>
                <c:pt idx="5">
                  <c:v>0.6761480784023477</c:v>
                </c:pt>
                <c:pt idx="6">
                  <c:v>0.7</c:v>
                </c:pt>
                <c:pt idx="7">
                  <c:v>0.67614807840234781</c:v>
                </c:pt>
                <c:pt idx="8">
                  <c:v>0.60621778264910708</c:v>
                </c:pt>
                <c:pt idx="9">
                  <c:v>0.49497474683058329</c:v>
                </c:pt>
                <c:pt idx="10">
                  <c:v>0.34999999999999992</c:v>
                </c:pt>
                <c:pt idx="11">
                  <c:v>0.18117333157176438</c:v>
                </c:pt>
                <c:pt idx="12">
                  <c:v>-2.2510205505144041E-16</c:v>
                </c:pt>
                <c:pt idx="13">
                  <c:v>-0.18117333157176482</c:v>
                </c:pt>
                <c:pt idx="14">
                  <c:v>-0.35000000000000037</c:v>
                </c:pt>
                <c:pt idx="15">
                  <c:v>-0.49497474683058357</c:v>
                </c:pt>
                <c:pt idx="16">
                  <c:v>-0.60621778264910708</c:v>
                </c:pt>
                <c:pt idx="17">
                  <c:v>-0.67614807840234781</c:v>
                </c:pt>
                <c:pt idx="18">
                  <c:v>-0.7</c:v>
                </c:pt>
                <c:pt idx="19">
                  <c:v>-0.67614807840234781</c:v>
                </c:pt>
                <c:pt idx="20">
                  <c:v>-0.60621778264910731</c:v>
                </c:pt>
                <c:pt idx="21">
                  <c:v>-0.49497474683058379</c:v>
                </c:pt>
                <c:pt idx="22">
                  <c:v>-0.35000000000000081</c:v>
                </c:pt>
                <c:pt idx="23">
                  <c:v>-0.18117333157176568</c:v>
                </c:pt>
                <c:pt idx="24">
                  <c:v>-1.414970571267382E-15</c:v>
                </c:pt>
              </c:numCache>
            </c:numRef>
          </c:xVal>
          <c:yVal>
            <c:numRef>
              <c:f>Тренд!$B$31:$B$55</c:f>
              <c:numCache>
                <c:formatCode>0.00</c:formatCode>
                <c:ptCount val="25"/>
                <c:pt idx="0">
                  <c:v>0.2045909865821883</c:v>
                </c:pt>
                <c:pt idx="1">
                  <c:v>0.30747345171565194</c:v>
                </c:pt>
                <c:pt idx="2">
                  <c:v>8.8292890845987709E-2</c:v>
                </c:pt>
                <c:pt idx="3">
                  <c:v>0.31911793885090123</c:v>
                </c:pt>
                <c:pt idx="4">
                  <c:v>5.2299935598542034E-2</c:v>
                </c:pt>
                <c:pt idx="5">
                  <c:v>-7.3691733873114743E-2</c:v>
                </c:pt>
                <c:pt idx="6">
                  <c:v>-0.11680646995269281</c:v>
                </c:pt>
                <c:pt idx="7">
                  <c:v>-0.36606708350395689</c:v>
                </c:pt>
                <c:pt idx="8">
                  <c:v>-0.49025716593411295</c:v>
                </c:pt>
                <c:pt idx="9">
                  <c:v>-0.49879413901058867</c:v>
                </c:pt>
                <c:pt idx="10">
                  <c:v>-0.594076575252519</c:v>
                </c:pt>
                <c:pt idx="11">
                  <c:v>-0.87122932756896176</c:v>
                </c:pt>
                <c:pt idx="12">
                  <c:v>-0.77463582385739815</c:v>
                </c:pt>
                <c:pt idx="13">
                  <c:v>-0.7775609254561423</c:v>
                </c:pt>
                <c:pt idx="14">
                  <c:v>-0.73221620130221821</c:v>
                </c:pt>
                <c:pt idx="15">
                  <c:v>-0.70128174786955</c:v>
                </c:pt>
                <c:pt idx="16">
                  <c:v>-0.77100627614053574</c:v>
                </c:pt>
                <c:pt idx="17">
                  <c:v>-0.45562597951377193</c:v>
                </c:pt>
                <c:pt idx="18">
                  <c:v>-0.46309771186865295</c:v>
                </c:pt>
                <c:pt idx="19">
                  <c:v>-0.21189093925060387</c:v>
                </c:pt>
                <c:pt idx="20">
                  <c:v>-0.27994658325281374</c:v>
                </c:pt>
                <c:pt idx="21">
                  <c:v>7.3364120666841073E-2</c:v>
                </c:pt>
                <c:pt idx="22">
                  <c:v>9.7104231700558041E-2</c:v>
                </c:pt>
                <c:pt idx="23">
                  <c:v>0.18266818528541556</c:v>
                </c:pt>
                <c:pt idx="24">
                  <c:v>0.19459714366210212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4-44EF-9B06-DB8B6574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93312"/>
        <c:axId val="141087104"/>
      </c:scatterChart>
      <c:valAx>
        <c:axId val="132893312"/>
        <c:scaling>
          <c:orientation val="minMax"/>
          <c:max val="2"/>
          <c:min val="-2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1087104"/>
        <c:crosses val="autoZero"/>
        <c:crossBetween val="midCat"/>
      </c:valAx>
      <c:valAx>
        <c:axId val="141087104"/>
        <c:scaling>
          <c:orientation val="minMax"/>
          <c:max val="1"/>
          <c:min val="-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2893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circle"/>
            <c:size val="5"/>
          </c:marker>
          <c:xVal>
            <c:numRef>
              <c:f>Тренд!$C$31:$C$55</c:f>
              <c:numCache>
                <c:formatCode>0.00</c:formatCode>
                <c:ptCount val="25"/>
                <c:pt idx="0">
                  <c:v>0.7</c:v>
                </c:pt>
                <c:pt idx="1">
                  <c:v>0.67614807840234781</c:v>
                </c:pt>
                <c:pt idx="2">
                  <c:v>0.60621778264910708</c:v>
                </c:pt>
                <c:pt idx="3">
                  <c:v>0.49497474683058329</c:v>
                </c:pt>
                <c:pt idx="4">
                  <c:v>0.35000000000000003</c:v>
                </c:pt>
                <c:pt idx="5">
                  <c:v>0.18117333157176466</c:v>
                </c:pt>
                <c:pt idx="6">
                  <c:v>1.9831141936932361E-16</c:v>
                </c:pt>
                <c:pt idx="7">
                  <c:v>-0.18117333157176427</c:v>
                </c:pt>
                <c:pt idx="8">
                  <c:v>-0.34999999999999981</c:v>
                </c:pt>
                <c:pt idx="9">
                  <c:v>-0.49497474683058318</c:v>
                </c:pt>
                <c:pt idx="10">
                  <c:v>-0.60621778264910708</c:v>
                </c:pt>
                <c:pt idx="11">
                  <c:v>-0.67614807840234781</c:v>
                </c:pt>
                <c:pt idx="12">
                  <c:v>-0.7</c:v>
                </c:pt>
                <c:pt idx="13">
                  <c:v>-0.6761480784023477</c:v>
                </c:pt>
                <c:pt idx="14">
                  <c:v>-0.60621778264910686</c:v>
                </c:pt>
                <c:pt idx="15">
                  <c:v>-0.4949747468305829</c:v>
                </c:pt>
                <c:pt idx="16">
                  <c:v>-0.3499999999999997</c:v>
                </c:pt>
                <c:pt idx="17">
                  <c:v>-0.18117333157176443</c:v>
                </c:pt>
                <c:pt idx="18">
                  <c:v>-1.286405877654051E-16</c:v>
                </c:pt>
                <c:pt idx="19">
                  <c:v>0.18117333157176418</c:v>
                </c:pt>
                <c:pt idx="20">
                  <c:v>0.34999999999999953</c:v>
                </c:pt>
                <c:pt idx="21">
                  <c:v>0.49497474683058273</c:v>
                </c:pt>
                <c:pt idx="22">
                  <c:v>0.60621778264910653</c:v>
                </c:pt>
                <c:pt idx="23">
                  <c:v>0.67614807840234747</c:v>
                </c:pt>
                <c:pt idx="24">
                  <c:v>0.7</c:v>
                </c:pt>
              </c:numCache>
            </c:numRef>
          </c:xVal>
          <c:yVal>
            <c:numRef>
              <c:f>Тренд!$D$31:$D$55</c:f>
              <c:numCache>
                <c:formatCode>0.00</c:formatCode>
                <c:ptCount val="25"/>
                <c:pt idx="0">
                  <c:v>0</c:v>
                </c:pt>
                <c:pt idx="1">
                  <c:v>0.18117333157176452</c:v>
                </c:pt>
                <c:pt idx="2">
                  <c:v>0.34999999999999992</c:v>
                </c:pt>
                <c:pt idx="3">
                  <c:v>0.49497474683058318</c:v>
                </c:pt>
                <c:pt idx="4">
                  <c:v>0.60621778264910697</c:v>
                </c:pt>
                <c:pt idx="5">
                  <c:v>0.6761480784023477</c:v>
                </c:pt>
                <c:pt idx="6">
                  <c:v>0.7</c:v>
                </c:pt>
                <c:pt idx="7">
                  <c:v>0.67614807840234781</c:v>
                </c:pt>
                <c:pt idx="8">
                  <c:v>0.60621778264910708</c:v>
                </c:pt>
                <c:pt idx="9">
                  <c:v>0.49497474683058329</c:v>
                </c:pt>
                <c:pt idx="10">
                  <c:v>0.34999999999999992</c:v>
                </c:pt>
                <c:pt idx="11">
                  <c:v>0.18117333157176438</c:v>
                </c:pt>
                <c:pt idx="12">
                  <c:v>-2.2510205505144041E-16</c:v>
                </c:pt>
                <c:pt idx="13">
                  <c:v>-0.18117333157176482</c:v>
                </c:pt>
                <c:pt idx="14">
                  <c:v>-0.35000000000000037</c:v>
                </c:pt>
                <c:pt idx="15">
                  <c:v>-0.49497474683058357</c:v>
                </c:pt>
                <c:pt idx="16">
                  <c:v>-0.60621778264910708</c:v>
                </c:pt>
                <c:pt idx="17">
                  <c:v>-0.67614807840234781</c:v>
                </c:pt>
                <c:pt idx="18">
                  <c:v>-0.7</c:v>
                </c:pt>
                <c:pt idx="19">
                  <c:v>-0.67614807840234781</c:v>
                </c:pt>
                <c:pt idx="20">
                  <c:v>-0.60621778264910731</c:v>
                </c:pt>
                <c:pt idx="21">
                  <c:v>-0.49497474683058379</c:v>
                </c:pt>
                <c:pt idx="22">
                  <c:v>-0.35000000000000081</c:v>
                </c:pt>
                <c:pt idx="23">
                  <c:v>-0.18117333157176568</c:v>
                </c:pt>
                <c:pt idx="24">
                  <c:v>-1.414970571267382E-15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9-408C-8AE4-418F0C21D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81568"/>
        <c:axId val="140387456"/>
      </c:scatterChart>
      <c:valAx>
        <c:axId val="140381568"/>
        <c:scaling>
          <c:orientation val="minMax"/>
          <c:max val="2"/>
          <c:min val="-2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387456"/>
        <c:crosses val="autoZero"/>
        <c:crossBetween val="midCat"/>
      </c:valAx>
      <c:valAx>
        <c:axId val="140387456"/>
        <c:scaling>
          <c:orientation val="minMax"/>
          <c:max val="2"/>
          <c:min val="-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381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Тренд!$C$31:$C$55</c:f>
              <c:numCache>
                <c:formatCode>0.00</c:formatCode>
                <c:ptCount val="25"/>
                <c:pt idx="0">
                  <c:v>0.7</c:v>
                </c:pt>
                <c:pt idx="1">
                  <c:v>0.67614807840234781</c:v>
                </c:pt>
                <c:pt idx="2">
                  <c:v>0.60621778264910708</c:v>
                </c:pt>
                <c:pt idx="3">
                  <c:v>0.49497474683058329</c:v>
                </c:pt>
                <c:pt idx="4">
                  <c:v>0.35000000000000003</c:v>
                </c:pt>
                <c:pt idx="5">
                  <c:v>0.18117333157176466</c:v>
                </c:pt>
                <c:pt idx="6">
                  <c:v>1.9831141936932361E-16</c:v>
                </c:pt>
                <c:pt idx="7">
                  <c:v>-0.18117333157176427</c:v>
                </c:pt>
                <c:pt idx="8">
                  <c:v>-0.34999999999999981</c:v>
                </c:pt>
                <c:pt idx="9">
                  <c:v>-0.49497474683058318</c:v>
                </c:pt>
                <c:pt idx="10">
                  <c:v>-0.60621778264910708</c:v>
                </c:pt>
                <c:pt idx="11">
                  <c:v>-0.67614807840234781</c:v>
                </c:pt>
                <c:pt idx="12">
                  <c:v>-0.7</c:v>
                </c:pt>
                <c:pt idx="13">
                  <c:v>-0.6761480784023477</c:v>
                </c:pt>
                <c:pt idx="14">
                  <c:v>-0.60621778264910686</c:v>
                </c:pt>
                <c:pt idx="15">
                  <c:v>-0.4949747468305829</c:v>
                </c:pt>
                <c:pt idx="16">
                  <c:v>-0.3499999999999997</c:v>
                </c:pt>
                <c:pt idx="17">
                  <c:v>-0.18117333157176443</c:v>
                </c:pt>
                <c:pt idx="18">
                  <c:v>-1.286405877654051E-16</c:v>
                </c:pt>
                <c:pt idx="19">
                  <c:v>0.18117333157176418</c:v>
                </c:pt>
                <c:pt idx="20">
                  <c:v>0.34999999999999953</c:v>
                </c:pt>
                <c:pt idx="21">
                  <c:v>0.49497474683058273</c:v>
                </c:pt>
                <c:pt idx="22">
                  <c:v>0.60621778264910653</c:v>
                </c:pt>
                <c:pt idx="23">
                  <c:v>0.67614807840234747</c:v>
                </c:pt>
                <c:pt idx="24">
                  <c:v>0.7</c:v>
                </c:pt>
              </c:numCache>
            </c:numRef>
          </c:xVal>
          <c:yVal>
            <c:numRef>
              <c:f>Тренд!$B$31:$B$55</c:f>
              <c:numCache>
                <c:formatCode>0.00</c:formatCode>
                <c:ptCount val="25"/>
                <c:pt idx="0">
                  <c:v>0.2045909865821883</c:v>
                </c:pt>
                <c:pt idx="1">
                  <c:v>0.30747345171565194</c:v>
                </c:pt>
                <c:pt idx="2">
                  <c:v>8.8292890845987709E-2</c:v>
                </c:pt>
                <c:pt idx="3">
                  <c:v>0.31911793885090123</c:v>
                </c:pt>
                <c:pt idx="4">
                  <c:v>5.2299935598542034E-2</c:v>
                </c:pt>
                <c:pt idx="5">
                  <c:v>-7.3691733873114743E-2</c:v>
                </c:pt>
                <c:pt idx="6">
                  <c:v>-0.11680646995269281</c:v>
                </c:pt>
                <c:pt idx="7">
                  <c:v>-0.36606708350395689</c:v>
                </c:pt>
                <c:pt idx="8">
                  <c:v>-0.49025716593411295</c:v>
                </c:pt>
                <c:pt idx="9">
                  <c:v>-0.49879413901058867</c:v>
                </c:pt>
                <c:pt idx="10">
                  <c:v>-0.594076575252519</c:v>
                </c:pt>
                <c:pt idx="11">
                  <c:v>-0.87122932756896176</c:v>
                </c:pt>
                <c:pt idx="12">
                  <c:v>-0.77463582385739815</c:v>
                </c:pt>
                <c:pt idx="13">
                  <c:v>-0.7775609254561423</c:v>
                </c:pt>
                <c:pt idx="14">
                  <c:v>-0.73221620130221821</c:v>
                </c:pt>
                <c:pt idx="15">
                  <c:v>-0.70128174786955</c:v>
                </c:pt>
                <c:pt idx="16">
                  <c:v>-0.77100627614053574</c:v>
                </c:pt>
                <c:pt idx="17">
                  <c:v>-0.45562597951377193</c:v>
                </c:pt>
                <c:pt idx="18">
                  <c:v>-0.46309771186865295</c:v>
                </c:pt>
                <c:pt idx="19">
                  <c:v>-0.21189093925060387</c:v>
                </c:pt>
                <c:pt idx="20">
                  <c:v>-0.27994658325281374</c:v>
                </c:pt>
                <c:pt idx="21">
                  <c:v>7.3364120666841073E-2</c:v>
                </c:pt>
                <c:pt idx="22">
                  <c:v>9.7104231700558041E-2</c:v>
                </c:pt>
                <c:pt idx="23">
                  <c:v>0.18266818528541556</c:v>
                </c:pt>
                <c:pt idx="24">
                  <c:v>0.19459714366210212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6-40DE-89B4-8B4539B30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07168"/>
        <c:axId val="140408704"/>
      </c:scatterChart>
      <c:valAx>
        <c:axId val="140407168"/>
        <c:scaling>
          <c:orientation val="minMax"/>
          <c:max val="2"/>
          <c:min val="-2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408704"/>
        <c:crosses val="autoZero"/>
        <c:crossBetween val="midCat"/>
      </c:valAx>
      <c:valAx>
        <c:axId val="140408704"/>
        <c:scaling>
          <c:orientation val="minMax"/>
          <c:max val="1"/>
          <c:min val="-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4040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19931102362193E-2"/>
          <c:y val="6.168066491688539E-2"/>
          <c:w val="0.82032009472536549"/>
          <c:h val="0.876921259842519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Тренд!$T$31:$T$55</c:f>
              <c:numCache>
                <c:formatCode>0.0000</c:formatCode>
                <c:ptCount val="25"/>
                <c:pt idx="0">
                  <c:v>-0.41598055363089426</c:v>
                </c:pt>
                <c:pt idx="1">
                  <c:v>-0.26477596002772708</c:v>
                </c:pt>
                <c:pt idx="2">
                  <c:v>-5.0146527727695067E-2</c:v>
                </c:pt>
                <c:pt idx="3">
                  <c:v>9.0860139148375513E-2</c:v>
                </c:pt>
                <c:pt idx="4">
                  <c:v>0.29931692988158259</c:v>
                </c:pt>
                <c:pt idx="5">
                  <c:v>0.46072352791576437</c:v>
                </c:pt>
                <c:pt idx="6">
                  <c:v>0.57483849700530332</c:v>
                </c:pt>
                <c:pt idx="7">
                  <c:v>0.68109238777348424</c:v>
                </c:pt>
                <c:pt idx="8">
                  <c:v>0.72143624045895194</c:v>
                </c:pt>
                <c:pt idx="9">
                  <c:v>0.69601183742991246</c:v>
                </c:pt>
                <c:pt idx="10">
                  <c:v>0.63937178761403424</c:v>
                </c:pt>
                <c:pt idx="11">
                  <c:v>0.57180670485087715</c:v>
                </c:pt>
                <c:pt idx="12">
                  <c:v>0.41113709088787936</c:v>
                </c:pt>
                <c:pt idx="13">
                  <c:v>0.24377034952346066</c:v>
                </c:pt>
                <c:pt idx="14">
                  <c:v>5.7248506097805796E-2</c:v>
                </c:pt>
                <c:pt idx="15">
                  <c:v>-0.12608216363850672</c:v>
                </c:pt>
                <c:pt idx="16">
                  <c:v>-0.28012325221549728</c:v>
                </c:pt>
                <c:pt idx="17">
                  <c:v>-0.47215217629090367</c:v>
                </c:pt>
                <c:pt idx="18">
                  <c:v>-0.57808779822035428</c:v>
                </c:pt>
                <c:pt idx="19">
                  <c:v>-0.68465636425899024</c:v>
                </c:pt>
                <c:pt idx="20">
                  <c:v>-0.69391592533056634</c:v>
                </c:pt>
                <c:pt idx="21">
                  <c:v>-0.7242381305056329</c:v>
                </c:pt>
                <c:pt idx="22">
                  <c:v>-0.65603037231580386</c:v>
                </c:pt>
                <c:pt idx="23">
                  <c:v>-0.55748721685243041</c:v>
                </c:pt>
                <c:pt idx="24">
                  <c:v>-0.41436464500480347</c:v>
                </c:pt>
              </c:numCache>
            </c:numRef>
          </c:xVal>
          <c:yVal>
            <c:numRef>
              <c:f>Тренд!$R$31:$R$55</c:f>
              <c:numCache>
                <c:formatCode>0.0000</c:formatCode>
                <c:ptCount val="25"/>
                <c:pt idx="0">
                  <c:v>-1.1796113502026029E-2</c:v>
                </c:pt>
                <c:pt idx="1">
                  <c:v>-7.9175860311998414E-2</c:v>
                </c:pt>
                <c:pt idx="2">
                  <c:v>8.5744069833685821E-2</c:v>
                </c:pt>
                <c:pt idx="3">
                  <c:v>-0.1403801587687632</c:v>
                </c:pt>
                <c:pt idx="4">
                  <c:v>1.127274939279177E-2</c:v>
                </c:pt>
                <c:pt idx="5">
                  <c:v>2.8896245451279279E-2</c:v>
                </c:pt>
                <c:pt idx="6">
                  <c:v>-3.4919899358497528E-2</c:v>
                </c:pt>
                <c:pt idx="7">
                  <c:v>6.0209765685249064E-2</c:v>
                </c:pt>
                <c:pt idx="8">
                  <c:v>5.3762647627193572E-2</c:v>
                </c:pt>
                <c:pt idx="9">
                  <c:v>-3.9366146804617613E-2</c:v>
                </c:pt>
                <c:pt idx="10">
                  <c:v>-4.8730154787005014E-2</c:v>
                </c:pt>
                <c:pt idx="11">
                  <c:v>0.10846220558285552</c:v>
                </c:pt>
                <c:pt idx="12">
                  <c:v>-1.242120021304749E-2</c:v>
                </c:pt>
                <c:pt idx="13">
                  <c:v>-2.5852192209332214E-2</c:v>
                </c:pt>
                <c:pt idx="14">
                  <c:v>-5.0234177983129957E-2</c:v>
                </c:pt>
                <c:pt idx="15">
                  <c:v>-3.5729963681890076E-2</c:v>
                </c:pt>
                <c:pt idx="16">
                  <c:v>8.4695638937635875E-2</c:v>
                </c:pt>
                <c:pt idx="17">
                  <c:v>-8.6039487326974751E-2</c:v>
                </c:pt>
                <c:pt idx="18">
                  <c:v>1.8673393283242884E-2</c:v>
                </c:pt>
                <c:pt idx="19">
                  <c:v>-7.8029648112779876E-2</c:v>
                </c:pt>
                <c:pt idx="20">
                  <c:v>8.3838928014734651E-2</c:v>
                </c:pt>
                <c:pt idx="21">
                  <c:v>-0.10176531857398391</c:v>
                </c:pt>
                <c:pt idx="22">
                  <c:v>-3.4562768721841219E-2</c:v>
                </c:pt>
                <c:pt idx="23">
                  <c:v>-3.6864765590617576E-2</c:v>
                </c:pt>
                <c:pt idx="24">
                  <c:v>-3.7165703715661413E-3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A0-4019-B49E-7CDCCFF1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2992"/>
        <c:axId val="140454528"/>
      </c:scatterChart>
      <c:valAx>
        <c:axId val="140452992"/>
        <c:scaling>
          <c:orientation val="minMax"/>
          <c:max val="2"/>
          <c:min val="-2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454528"/>
        <c:crosses val="autoZero"/>
        <c:crossBetween val="midCat"/>
      </c:valAx>
      <c:valAx>
        <c:axId val="140454528"/>
        <c:scaling>
          <c:orientation val="minMax"/>
          <c:max val="1"/>
          <c:min val="-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452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circle"/>
            <c:size val="5"/>
          </c:marker>
          <c:xVal>
            <c:numRef>
              <c:f>Тренд!$S$31:$S$55</c:f>
              <c:numCache>
                <c:formatCode>0.0000</c:formatCode>
                <c:ptCount val="25"/>
                <c:pt idx="0">
                  <c:v>-0.75593193770812994</c:v>
                </c:pt>
                <c:pt idx="1">
                  <c:v>-0.88467444219587288</c:v>
                </c:pt>
                <c:pt idx="2">
                  <c:v>-0.79429506439782549</c:v>
                </c:pt>
                <c:pt idx="3">
                  <c:v>-0.9194263800571435</c:v>
                </c:pt>
                <c:pt idx="4">
                  <c:v>-0.72415298468633527</c:v>
                </c:pt>
                <c:pt idx="5">
                  <c:v>-0.57281259513127702</c:v>
                </c:pt>
                <c:pt idx="6">
                  <c:v>-0.43806526048143751</c:v>
                </c:pt>
                <c:pt idx="7">
                  <c:v>-0.16386824877278705</c:v>
                </c:pt>
                <c:pt idx="8">
                  <c:v>5.3264602334457428E-2</c:v>
                </c:pt>
                <c:pt idx="9">
                  <c:v>0.20865507026706903</c:v>
                </c:pt>
                <c:pt idx="10">
                  <c:v>0.40658347400001305</c:v>
                </c:pt>
                <c:pt idx="11">
                  <c:v>0.69106872807454711</c:v>
                </c:pt>
                <c:pt idx="12">
                  <c:v>0.73897981810757862</c:v>
                </c:pt>
                <c:pt idx="13">
                  <c:v>0.81115480543094143</c:v>
                </c:pt>
                <c:pt idx="14">
                  <c:v>0.81915198869321459</c:v>
                </c:pt>
                <c:pt idx="15">
                  <c:v>0.79614929434168591</c:v>
                </c:pt>
                <c:pt idx="16">
                  <c:v>0.79133085651763446</c:v>
                </c:pt>
                <c:pt idx="17">
                  <c:v>0.53281232581829008</c:v>
                </c:pt>
                <c:pt idx="18">
                  <c:v>0.42669270622875921</c:v>
                </c:pt>
                <c:pt idx="19">
                  <c:v>0.15139433107351558</c:v>
                </c:pt>
                <c:pt idx="20">
                  <c:v>4.3056500614892745E-2</c:v>
                </c:pt>
                <c:pt idx="21">
                  <c:v>-0.30744709603208936</c:v>
                </c:pt>
                <c:pt idx="22">
                  <c:v>-0.46488852045620427</c:v>
                </c:pt>
                <c:pt idx="23">
                  <c:v>-0.64095052007997944</c:v>
                </c:pt>
                <c:pt idx="24">
                  <c:v>-0.75027625751680715</c:v>
                </c:pt>
              </c:numCache>
            </c:numRef>
          </c:xVal>
          <c:yVal>
            <c:numRef>
              <c:f>Тренд!$T$31:$T$55</c:f>
              <c:numCache>
                <c:formatCode>0.0000</c:formatCode>
                <c:ptCount val="25"/>
                <c:pt idx="0">
                  <c:v>-0.41598055363089426</c:v>
                </c:pt>
                <c:pt idx="1">
                  <c:v>-0.26477596002772708</c:v>
                </c:pt>
                <c:pt idx="2">
                  <c:v>-5.0146527727695067E-2</c:v>
                </c:pt>
                <c:pt idx="3">
                  <c:v>9.0860139148375513E-2</c:v>
                </c:pt>
                <c:pt idx="4">
                  <c:v>0.29931692988158259</c:v>
                </c:pt>
                <c:pt idx="5">
                  <c:v>0.46072352791576437</c:v>
                </c:pt>
                <c:pt idx="6">
                  <c:v>0.57483849700530332</c:v>
                </c:pt>
                <c:pt idx="7">
                  <c:v>0.68109238777348424</c:v>
                </c:pt>
                <c:pt idx="8">
                  <c:v>0.72143624045895194</c:v>
                </c:pt>
                <c:pt idx="9">
                  <c:v>0.69601183742991246</c:v>
                </c:pt>
                <c:pt idx="10">
                  <c:v>0.63937178761403424</c:v>
                </c:pt>
                <c:pt idx="11">
                  <c:v>0.57180670485087715</c:v>
                </c:pt>
                <c:pt idx="12">
                  <c:v>0.41113709088787936</c:v>
                </c:pt>
                <c:pt idx="13">
                  <c:v>0.24377034952346066</c:v>
                </c:pt>
                <c:pt idx="14">
                  <c:v>5.7248506097805796E-2</c:v>
                </c:pt>
                <c:pt idx="15">
                  <c:v>-0.12608216363850672</c:v>
                </c:pt>
                <c:pt idx="16">
                  <c:v>-0.28012325221549728</c:v>
                </c:pt>
                <c:pt idx="17">
                  <c:v>-0.47215217629090367</c:v>
                </c:pt>
                <c:pt idx="18">
                  <c:v>-0.57808779822035428</c:v>
                </c:pt>
                <c:pt idx="19">
                  <c:v>-0.68465636425899024</c:v>
                </c:pt>
                <c:pt idx="20">
                  <c:v>-0.69391592533056634</c:v>
                </c:pt>
                <c:pt idx="21">
                  <c:v>-0.7242381305056329</c:v>
                </c:pt>
                <c:pt idx="22">
                  <c:v>-0.65603037231580386</c:v>
                </c:pt>
                <c:pt idx="23">
                  <c:v>-0.55748721685243041</c:v>
                </c:pt>
                <c:pt idx="24">
                  <c:v>-0.41436464500480347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7-4AB7-9A06-3C99FE5DCE26}"/>
            </c:ext>
          </c:extLst>
        </c:ser>
        <c:ser>
          <c:idx val="1"/>
          <c:order val="1"/>
          <c:tx>
            <c:strRef>
              <c:f>Тренд!$W$58</c:f>
              <c:strCache>
                <c:ptCount val="1"/>
                <c:pt idx="0">
                  <c:v>Строим ось вращения</c:v>
                </c:pt>
              </c:strCache>
            </c:strRef>
          </c:tx>
          <c:xVal>
            <c:numRef>
              <c:f>Тренд!$W$60:$W$61</c:f>
              <c:numCache>
                <c:formatCode>General</c:formatCode>
                <c:ptCount val="2"/>
                <c:pt idx="0">
                  <c:v>3</c:v>
                </c:pt>
                <c:pt idx="1">
                  <c:v>-3</c:v>
                </c:pt>
              </c:numCache>
            </c:numRef>
          </c:xVal>
          <c:yVal>
            <c:numRef>
              <c:f>Тренд!$X$60:$X$61</c:f>
              <c:numCache>
                <c:formatCode>General</c:formatCode>
                <c:ptCount val="2"/>
                <c:pt idx="0">
                  <c:v>-10.499999999999998</c:v>
                </c:pt>
                <c:pt idx="1">
                  <c:v>10.499999999999998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7-4AB7-9A06-3C99FE5D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66816"/>
        <c:axId val="140845440"/>
      </c:scatterChart>
      <c:valAx>
        <c:axId val="140466816"/>
        <c:scaling>
          <c:orientation val="minMax"/>
          <c:max val="2"/>
          <c:min val="-2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845440"/>
        <c:crosses val="autoZero"/>
        <c:crossBetween val="midCat"/>
      </c:valAx>
      <c:valAx>
        <c:axId val="140845440"/>
        <c:scaling>
          <c:orientation val="minMax"/>
          <c:max val="2"/>
          <c:min val="-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46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Тренд!$S$31:$S$55</c:f>
              <c:numCache>
                <c:formatCode>0.0000</c:formatCode>
                <c:ptCount val="25"/>
                <c:pt idx="0">
                  <c:v>-0.75593193770812994</c:v>
                </c:pt>
                <c:pt idx="1">
                  <c:v>-0.88467444219587288</c:v>
                </c:pt>
                <c:pt idx="2">
                  <c:v>-0.79429506439782549</c:v>
                </c:pt>
                <c:pt idx="3">
                  <c:v>-0.9194263800571435</c:v>
                </c:pt>
                <c:pt idx="4">
                  <c:v>-0.72415298468633527</c:v>
                </c:pt>
                <c:pt idx="5">
                  <c:v>-0.57281259513127702</c:v>
                </c:pt>
                <c:pt idx="6">
                  <c:v>-0.43806526048143751</c:v>
                </c:pt>
                <c:pt idx="7">
                  <c:v>-0.16386824877278705</c:v>
                </c:pt>
                <c:pt idx="8">
                  <c:v>5.3264602334457428E-2</c:v>
                </c:pt>
                <c:pt idx="9">
                  <c:v>0.20865507026706903</c:v>
                </c:pt>
                <c:pt idx="10">
                  <c:v>0.40658347400001305</c:v>
                </c:pt>
                <c:pt idx="11">
                  <c:v>0.69106872807454711</c:v>
                </c:pt>
                <c:pt idx="12">
                  <c:v>0.73897981810757862</c:v>
                </c:pt>
                <c:pt idx="13">
                  <c:v>0.81115480543094143</c:v>
                </c:pt>
                <c:pt idx="14">
                  <c:v>0.81915198869321459</c:v>
                </c:pt>
                <c:pt idx="15">
                  <c:v>0.79614929434168591</c:v>
                </c:pt>
                <c:pt idx="16">
                  <c:v>0.79133085651763446</c:v>
                </c:pt>
                <c:pt idx="17">
                  <c:v>0.53281232581829008</c:v>
                </c:pt>
                <c:pt idx="18">
                  <c:v>0.42669270622875921</c:v>
                </c:pt>
                <c:pt idx="19">
                  <c:v>0.15139433107351558</c:v>
                </c:pt>
                <c:pt idx="20">
                  <c:v>4.3056500614892745E-2</c:v>
                </c:pt>
                <c:pt idx="21">
                  <c:v>-0.30744709603208936</c:v>
                </c:pt>
                <c:pt idx="22">
                  <c:v>-0.46488852045620427</c:v>
                </c:pt>
                <c:pt idx="23">
                  <c:v>-0.64095052007997944</c:v>
                </c:pt>
                <c:pt idx="24">
                  <c:v>-0.75027625751680715</c:v>
                </c:pt>
              </c:numCache>
            </c:numRef>
          </c:xVal>
          <c:yVal>
            <c:numRef>
              <c:f>Тренд!$R$31:$R$55</c:f>
              <c:numCache>
                <c:formatCode>0.0000</c:formatCode>
                <c:ptCount val="25"/>
                <c:pt idx="0">
                  <c:v>-1.1796113502026029E-2</c:v>
                </c:pt>
                <c:pt idx="1">
                  <c:v>-7.9175860311998414E-2</c:v>
                </c:pt>
                <c:pt idx="2">
                  <c:v>8.5744069833685821E-2</c:v>
                </c:pt>
                <c:pt idx="3">
                  <c:v>-0.1403801587687632</c:v>
                </c:pt>
                <c:pt idx="4">
                  <c:v>1.127274939279177E-2</c:v>
                </c:pt>
                <c:pt idx="5">
                  <c:v>2.8896245451279279E-2</c:v>
                </c:pt>
                <c:pt idx="6">
                  <c:v>-3.4919899358497528E-2</c:v>
                </c:pt>
                <c:pt idx="7">
                  <c:v>6.0209765685249064E-2</c:v>
                </c:pt>
                <c:pt idx="8">
                  <c:v>5.3762647627193572E-2</c:v>
                </c:pt>
                <c:pt idx="9">
                  <c:v>-3.9366146804617613E-2</c:v>
                </c:pt>
                <c:pt idx="10">
                  <c:v>-4.8730154787005014E-2</c:v>
                </c:pt>
                <c:pt idx="11">
                  <c:v>0.10846220558285552</c:v>
                </c:pt>
                <c:pt idx="12">
                  <c:v>-1.242120021304749E-2</c:v>
                </c:pt>
                <c:pt idx="13">
                  <c:v>-2.5852192209332214E-2</c:v>
                </c:pt>
                <c:pt idx="14">
                  <c:v>-5.0234177983129957E-2</c:v>
                </c:pt>
                <c:pt idx="15">
                  <c:v>-3.5729963681890076E-2</c:v>
                </c:pt>
                <c:pt idx="16">
                  <c:v>8.4695638937635875E-2</c:v>
                </c:pt>
                <c:pt idx="17">
                  <c:v>-8.6039487326974751E-2</c:v>
                </c:pt>
                <c:pt idx="18">
                  <c:v>1.8673393283242884E-2</c:v>
                </c:pt>
                <c:pt idx="19">
                  <c:v>-7.8029648112779876E-2</c:v>
                </c:pt>
                <c:pt idx="20">
                  <c:v>8.3838928014734651E-2</c:v>
                </c:pt>
                <c:pt idx="21">
                  <c:v>-0.10176531857398391</c:v>
                </c:pt>
                <c:pt idx="22">
                  <c:v>-3.4562768721841219E-2</c:v>
                </c:pt>
                <c:pt idx="23">
                  <c:v>-3.6864765590617576E-2</c:v>
                </c:pt>
                <c:pt idx="24">
                  <c:v>-3.7165703715661413E-3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9-472D-889D-0B8A255EC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608"/>
        <c:axId val="140870784"/>
      </c:scatterChart>
      <c:valAx>
        <c:axId val="140852608"/>
        <c:scaling>
          <c:orientation val="minMax"/>
          <c:max val="2"/>
          <c:min val="-2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40870784"/>
        <c:crosses val="autoZero"/>
        <c:crossBetween val="midCat"/>
      </c:valAx>
      <c:valAx>
        <c:axId val="140870784"/>
        <c:scaling>
          <c:orientation val="minMax"/>
          <c:max val="1"/>
          <c:min val="-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noFill/>
          <a:ln w="22225">
            <a:solidFill>
              <a:schemeClr val="tx1"/>
            </a:solidFill>
          </a:ln>
        </c:spPr>
        <c:crossAx val="140852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Переменная </a:t>
            </a:r>
            <a:r>
              <a:rPr lang="en-US" sz="1400"/>
              <a:t>X 1 </a:t>
            </a:r>
            <a:r>
              <a:rPr lang="ru-RU" sz="1400"/>
              <a:t>График остатков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Надстройка!$B$7:$B$37</c:f>
              <c:numCache>
                <c:formatCode>General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Надстройка!$J$31:$J$61</c:f>
              <c:numCache>
                <c:formatCode>General</c:formatCode>
                <c:ptCount val="31"/>
                <c:pt idx="0">
                  <c:v>6.2265016131343174</c:v>
                </c:pt>
                <c:pt idx="1">
                  <c:v>6.5774322921846533</c:v>
                </c:pt>
                <c:pt idx="2">
                  <c:v>6.8611911901290483</c:v>
                </c:pt>
                <c:pt idx="3">
                  <c:v>-3.0174386368425132</c:v>
                </c:pt>
                <c:pt idx="4">
                  <c:v>7.6851147508238427</c:v>
                </c:pt>
                <c:pt idx="5">
                  <c:v>7.6986183100015921</c:v>
                </c:pt>
                <c:pt idx="6">
                  <c:v>2.6835465364809323</c:v>
                </c:pt>
                <c:pt idx="7">
                  <c:v>-8.640907194208225</c:v>
                </c:pt>
                <c:pt idx="8">
                  <c:v>-9.8571482962638299</c:v>
                </c:pt>
                <c:pt idx="9">
                  <c:v>1.4129451829314519</c:v>
                </c:pt>
                <c:pt idx="10">
                  <c:v>-2.5399653673378282</c:v>
                </c:pt>
                <c:pt idx="11">
                  <c:v>-8.4658687992515809</c:v>
                </c:pt>
                <c:pt idx="12">
                  <c:v>0.23668458841476081</c:v>
                </c:pt>
                <c:pt idx="13">
                  <c:v>-7.9127307473177666</c:v>
                </c:pt>
                <c:pt idx="14">
                  <c:v>0.66829060774877291</c:v>
                </c:pt>
                <c:pt idx="15">
                  <c:v>5.099896627082785</c:v>
                </c:pt>
                <c:pt idx="16">
                  <c:v>-2.6506223950915029</c:v>
                </c:pt>
                <c:pt idx="17">
                  <c:v>-2.1035329453607687</c:v>
                </c:pt>
                <c:pt idx="18">
                  <c:v>-0.18508447042165699</c:v>
                </c:pt>
                <c:pt idx="19">
                  <c:v>0.8010659556177302</c:v>
                </c:pt>
                <c:pt idx="20">
                  <c:v>-3.6044091301379666</c:v>
                </c:pt>
                <c:pt idx="21">
                  <c:v>2.9631086657508234</c:v>
                </c:pt>
                <c:pt idx="22">
                  <c:v>-9.2600572232851022</c:v>
                </c:pt>
                <c:pt idx="23">
                  <c:v>1.4492590917901964</c:v>
                </c:pt>
                <c:pt idx="24">
                  <c:v>-5.7669820102654086</c:v>
                </c:pt>
                <c:pt idx="25">
                  <c:v>-8.7397907366983958</c:v>
                </c:pt>
                <c:pt idx="26">
                  <c:v>2.8256286748531352</c:v>
                </c:pt>
                <c:pt idx="27">
                  <c:v>3.3121251156753715</c:v>
                </c:pt>
                <c:pt idx="28">
                  <c:v>2.298621556497622</c:v>
                </c:pt>
                <c:pt idx="29">
                  <c:v>3.4599722370650028</c:v>
                </c:pt>
                <c:pt idx="30">
                  <c:v>10.484534956300394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2-4E5E-8852-6374C41C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82720"/>
        <c:axId val="141584640"/>
      </c:scatterChart>
      <c:valAx>
        <c:axId val="1415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84640"/>
        <c:crosses val="autoZero"/>
        <c:crossBetween val="midCat"/>
      </c:valAx>
      <c:valAx>
        <c:axId val="141584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82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X2 (</a:t>
            </a:r>
            <a:r>
              <a:rPr lang="ru-RU" sz="1400"/>
              <a:t>Температура) График подбора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6429788381717"/>
          <c:y val="0.20158547254763887"/>
          <c:w val="0.79326373676974593"/>
          <c:h val="0.53099118707722515"/>
        </c:manualLayout>
      </c:layout>
      <c:scatterChart>
        <c:scatterStyle val="lineMarker"/>
        <c:varyColors val="0"/>
        <c:ser>
          <c:idx val="1"/>
          <c:order val="0"/>
          <c:tx>
            <c:strRef>
              <c:f>Надстройка!$I$30</c:f>
              <c:strCache>
                <c:ptCount val="1"/>
                <c:pt idx="0">
                  <c:v>Предсказанное 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Надстройка!$C$7:$C$37</c:f>
              <c:numCache>
                <c:formatCode>General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Надстройка!$I$31:$I$61</c:f>
              <c:numCache>
                <c:formatCode>General</c:formatCode>
                <c:ptCount val="31"/>
                <c:pt idx="0">
                  <c:v>53.773498386865683</c:v>
                </c:pt>
                <c:pt idx="1">
                  <c:v>54.422567707815347</c:v>
                </c:pt>
                <c:pt idx="2">
                  <c:v>58.138808809870952</c:v>
                </c:pt>
                <c:pt idx="3">
                  <c:v>33.517438636842513</c:v>
                </c:pt>
                <c:pt idx="4">
                  <c:v>55.814885249176157</c:v>
                </c:pt>
                <c:pt idx="5">
                  <c:v>57.301381689998408</c:v>
                </c:pt>
                <c:pt idx="6">
                  <c:v>41.316453463519068</c:v>
                </c:pt>
                <c:pt idx="7">
                  <c:v>60.640907194208225</c:v>
                </c:pt>
                <c:pt idx="8">
                  <c:v>64.35714829626383</c:v>
                </c:pt>
                <c:pt idx="9">
                  <c:v>28.587054817068548</c:v>
                </c:pt>
                <c:pt idx="10">
                  <c:v>28.539965367337828</c:v>
                </c:pt>
                <c:pt idx="11">
                  <c:v>31.465868799251581</c:v>
                </c:pt>
                <c:pt idx="12">
                  <c:v>53.763315411585239</c:v>
                </c:pt>
                <c:pt idx="13">
                  <c:v>43.912730747317767</c:v>
                </c:pt>
                <c:pt idx="14">
                  <c:v>52.831709392251227</c:v>
                </c:pt>
                <c:pt idx="15">
                  <c:v>51.900103372917215</c:v>
                </c:pt>
                <c:pt idx="16">
                  <c:v>36.150622395091503</c:v>
                </c:pt>
                <c:pt idx="17">
                  <c:v>36.103532945360769</c:v>
                </c:pt>
                <c:pt idx="18">
                  <c:v>44.185084470421657</c:v>
                </c:pt>
                <c:pt idx="19">
                  <c:v>32.19893404438227</c:v>
                </c:pt>
                <c:pt idx="20">
                  <c:v>42.604409130137967</c:v>
                </c:pt>
                <c:pt idx="21">
                  <c:v>50.036891334249177</c:v>
                </c:pt>
                <c:pt idx="22">
                  <c:v>47.760057223285102</c:v>
                </c:pt>
                <c:pt idx="23">
                  <c:v>38.050740908209804</c:v>
                </c:pt>
                <c:pt idx="24">
                  <c:v>41.766982010265409</c:v>
                </c:pt>
                <c:pt idx="25">
                  <c:v>17.239790736698396</c:v>
                </c:pt>
                <c:pt idx="26">
                  <c:v>27.174371325146865</c:v>
                </c:pt>
                <c:pt idx="27">
                  <c:v>25.687874884324629</c:v>
                </c:pt>
                <c:pt idx="28">
                  <c:v>24.201378443502378</c:v>
                </c:pt>
                <c:pt idx="29">
                  <c:v>21.040027762934997</c:v>
                </c:pt>
                <c:pt idx="30">
                  <c:v>16.015465043699606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B-4269-9BC1-B97744DC8F1A}"/>
            </c:ext>
          </c:extLst>
        </c:ser>
        <c:ser>
          <c:idx val="0"/>
          <c:order val="1"/>
          <c:tx>
            <c:strRef>
              <c:f>Надстройка!$D$6</c:f>
              <c:strCache>
                <c:ptCount val="1"/>
                <c:pt idx="0">
                  <c:v>Y (Прочность)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Надстройка!$C$7:$C$37</c:f>
              <c:numCache>
                <c:formatCode>General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Надстройка!$D$7:$D$37</c:f>
              <c:numCache>
                <c:formatCode>General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B-4269-9BC1-B97744DC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05888"/>
        <c:axId val="141886592"/>
      </c:scatterChart>
      <c:valAx>
        <c:axId val="14160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2</a:t>
                </a:r>
              </a:p>
            </c:rich>
          </c:tx>
          <c:layout>
            <c:manualLayout>
              <c:xMode val="edge"/>
              <c:yMode val="edge"/>
              <c:x val="0.7352980877390326"/>
              <c:y val="0.83583765443953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886592"/>
        <c:crosses val="autoZero"/>
        <c:crossBetween val="midCat"/>
      </c:valAx>
      <c:valAx>
        <c:axId val="141886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5.6808688387635753E-2"/>
              <c:y val="7.901841538100422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16058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0875416888678406E-2"/>
          <c:y val="0.9019896293451124"/>
          <c:w val="0.78553660007371451"/>
          <c:h val="9.27328891580860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График нормального распределения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793104809267264"/>
          <c:y val="0.21207015382245922"/>
          <c:w val="0.74648011103875178"/>
          <c:h val="0.640393764960309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Надстройка!$M$31:$M$61</c:f>
              <c:numCache>
                <c:formatCode>General</c:formatCode>
                <c:ptCount val="31"/>
                <c:pt idx="0">
                  <c:v>1.6129032258064515</c:v>
                </c:pt>
                <c:pt idx="1">
                  <c:v>4.8387096774193541</c:v>
                </c:pt>
                <c:pt idx="2">
                  <c:v>8.0645161290322562</c:v>
                </c:pt>
                <c:pt idx="3">
                  <c:v>11.29032258064516</c:v>
                </c:pt>
                <c:pt idx="4">
                  <c:v>14.516129032258064</c:v>
                </c:pt>
                <c:pt idx="5">
                  <c:v>17.741935483870968</c:v>
                </c:pt>
                <c:pt idx="6">
                  <c:v>20.967741935483872</c:v>
                </c:pt>
                <c:pt idx="7">
                  <c:v>24.193548387096776</c:v>
                </c:pt>
                <c:pt idx="8">
                  <c:v>27.41935483870968</c:v>
                </c:pt>
                <c:pt idx="9">
                  <c:v>30.645161290322584</c:v>
                </c:pt>
                <c:pt idx="10">
                  <c:v>33.870967741935488</c:v>
                </c:pt>
                <c:pt idx="11">
                  <c:v>37.096774193548391</c:v>
                </c:pt>
                <c:pt idx="12">
                  <c:v>40.322580645161295</c:v>
                </c:pt>
                <c:pt idx="13">
                  <c:v>43.548387096774199</c:v>
                </c:pt>
                <c:pt idx="14">
                  <c:v>46.774193548387103</c:v>
                </c:pt>
                <c:pt idx="15">
                  <c:v>50.000000000000007</c:v>
                </c:pt>
                <c:pt idx="16">
                  <c:v>53.225806451612911</c:v>
                </c:pt>
                <c:pt idx="17">
                  <c:v>56.451612903225815</c:v>
                </c:pt>
                <c:pt idx="18">
                  <c:v>59.677419354838719</c:v>
                </c:pt>
                <c:pt idx="19">
                  <c:v>62.903225806451623</c:v>
                </c:pt>
                <c:pt idx="20">
                  <c:v>66.129032258064527</c:v>
                </c:pt>
                <c:pt idx="21">
                  <c:v>69.354838709677423</c:v>
                </c:pt>
                <c:pt idx="22">
                  <c:v>72.58064516129032</c:v>
                </c:pt>
                <c:pt idx="23">
                  <c:v>75.806451612903217</c:v>
                </c:pt>
                <c:pt idx="24">
                  <c:v>79.032258064516114</c:v>
                </c:pt>
                <c:pt idx="25">
                  <c:v>82.258064516129011</c:v>
                </c:pt>
                <c:pt idx="26">
                  <c:v>85.483870967741908</c:v>
                </c:pt>
                <c:pt idx="27">
                  <c:v>88.709677419354804</c:v>
                </c:pt>
                <c:pt idx="28">
                  <c:v>91.935483870967701</c:v>
                </c:pt>
                <c:pt idx="29">
                  <c:v>95.161290322580598</c:v>
                </c:pt>
                <c:pt idx="30">
                  <c:v>98.387096774193495</c:v>
                </c:pt>
              </c:numCache>
            </c:numRef>
          </c:xVal>
          <c:yVal>
            <c:numRef>
              <c:f>Надстройка!$N$31:$N$61</c:f>
              <c:numCache>
                <c:formatCode>General</c:formatCode>
                <c:ptCount val="31"/>
                <c:pt idx="0">
                  <c:v>8.5</c:v>
                </c:pt>
                <c:pt idx="1">
                  <c:v>23</c:v>
                </c:pt>
                <c:pt idx="2">
                  <c:v>24.5</c:v>
                </c:pt>
                <c:pt idx="3">
                  <c:v>26</c:v>
                </c:pt>
                <c:pt idx="4">
                  <c:v>26.5</c:v>
                </c:pt>
                <c:pt idx="5">
                  <c:v>26.5</c:v>
                </c:pt>
                <c:pt idx="6">
                  <c:v>29</c:v>
                </c:pt>
                <c:pt idx="7">
                  <c:v>30</c:v>
                </c:pt>
                <c:pt idx="8">
                  <c:v>30</c:v>
                </c:pt>
                <c:pt idx="9">
                  <c:v>30.5</c:v>
                </c:pt>
                <c:pt idx="10">
                  <c:v>33</c:v>
                </c:pt>
                <c:pt idx="11">
                  <c:v>33.5</c:v>
                </c:pt>
                <c:pt idx="12">
                  <c:v>34</c:v>
                </c:pt>
                <c:pt idx="13">
                  <c:v>36</c:v>
                </c:pt>
                <c:pt idx="14">
                  <c:v>36</c:v>
                </c:pt>
                <c:pt idx="15">
                  <c:v>38.5</c:v>
                </c:pt>
                <c:pt idx="16">
                  <c:v>39</c:v>
                </c:pt>
                <c:pt idx="17">
                  <c:v>39.5</c:v>
                </c:pt>
                <c:pt idx="18">
                  <c:v>44</c:v>
                </c:pt>
                <c:pt idx="19">
                  <c:v>44</c:v>
                </c:pt>
                <c:pt idx="20">
                  <c:v>52</c:v>
                </c:pt>
                <c:pt idx="21">
                  <c:v>53</c:v>
                </c:pt>
                <c:pt idx="22">
                  <c:v>53.5</c:v>
                </c:pt>
                <c:pt idx="23">
                  <c:v>54</c:v>
                </c:pt>
                <c:pt idx="24">
                  <c:v>54.5</c:v>
                </c:pt>
                <c:pt idx="25">
                  <c:v>57</c:v>
                </c:pt>
                <c:pt idx="26">
                  <c:v>60</c:v>
                </c:pt>
                <c:pt idx="27">
                  <c:v>61</c:v>
                </c:pt>
                <c:pt idx="28">
                  <c:v>63.5</c:v>
                </c:pt>
                <c:pt idx="29">
                  <c:v>65</c:v>
                </c:pt>
                <c:pt idx="30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F-4CF8-B3DF-BA565C42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23840"/>
        <c:axId val="141925760"/>
      </c:scatterChart>
      <c:valAx>
        <c:axId val="1419238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Персентиль выборки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925760"/>
        <c:crosses val="autoZero"/>
        <c:crossBetween val="midCat"/>
      </c:valAx>
      <c:valAx>
        <c:axId val="141925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7.6892493701445214E-2"/>
              <c:y val="0.11522076407115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923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(</a:t>
            </a:r>
            <a:r>
              <a:rPr lang="ru-RU"/>
              <a:t>Концентрация) График остатков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Надстройка!$B$7:$B$37</c:f>
              <c:numCache>
                <c:formatCode>General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Надстройка!$W$31:$W$61</c:f>
              <c:numCache>
                <c:formatCode>General</c:formatCode>
                <c:ptCount val="31"/>
                <c:pt idx="0">
                  <c:v>6.2265016131343174</c:v>
                </c:pt>
                <c:pt idx="1">
                  <c:v>6.5774322921846533</c:v>
                </c:pt>
                <c:pt idx="2">
                  <c:v>6.8611911901290483</c:v>
                </c:pt>
                <c:pt idx="3">
                  <c:v>-3.0174386368425132</c:v>
                </c:pt>
                <c:pt idx="4">
                  <c:v>7.6851147508238427</c:v>
                </c:pt>
                <c:pt idx="5">
                  <c:v>7.6986183100015921</c:v>
                </c:pt>
                <c:pt idx="6">
                  <c:v>2.6835465364809323</c:v>
                </c:pt>
                <c:pt idx="7">
                  <c:v>-8.640907194208225</c:v>
                </c:pt>
                <c:pt idx="8">
                  <c:v>-9.8571482962638299</c:v>
                </c:pt>
                <c:pt idx="9">
                  <c:v>1.4129451829314519</c:v>
                </c:pt>
                <c:pt idx="10">
                  <c:v>-2.5399653673378282</c:v>
                </c:pt>
                <c:pt idx="11">
                  <c:v>-8.4658687992515809</c:v>
                </c:pt>
                <c:pt idx="12">
                  <c:v>0.23668458841476081</c:v>
                </c:pt>
                <c:pt idx="13">
                  <c:v>-7.9127307473177666</c:v>
                </c:pt>
                <c:pt idx="14">
                  <c:v>0.66829060774877291</c:v>
                </c:pt>
                <c:pt idx="15">
                  <c:v>5.099896627082785</c:v>
                </c:pt>
                <c:pt idx="16">
                  <c:v>-2.6506223950915029</c:v>
                </c:pt>
                <c:pt idx="17">
                  <c:v>-2.1035329453607687</c:v>
                </c:pt>
                <c:pt idx="18">
                  <c:v>-0.18508447042165699</c:v>
                </c:pt>
                <c:pt idx="19">
                  <c:v>0.8010659556177302</c:v>
                </c:pt>
                <c:pt idx="20">
                  <c:v>-3.6044091301379666</c:v>
                </c:pt>
                <c:pt idx="21">
                  <c:v>2.9631086657508234</c:v>
                </c:pt>
                <c:pt idx="22">
                  <c:v>-9.2600572232851022</c:v>
                </c:pt>
                <c:pt idx="23">
                  <c:v>1.4492590917901964</c:v>
                </c:pt>
                <c:pt idx="24">
                  <c:v>-5.7669820102654086</c:v>
                </c:pt>
                <c:pt idx="25">
                  <c:v>-8.7397907366983958</c:v>
                </c:pt>
                <c:pt idx="26">
                  <c:v>2.8256286748531352</c:v>
                </c:pt>
                <c:pt idx="27">
                  <c:v>3.3121251156753715</c:v>
                </c:pt>
                <c:pt idx="28">
                  <c:v>2.298621556497622</c:v>
                </c:pt>
                <c:pt idx="29">
                  <c:v>3.4599722370650028</c:v>
                </c:pt>
                <c:pt idx="30">
                  <c:v>10.484534956300394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9-40E7-AF66-0E345E42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46240"/>
        <c:axId val="142034432"/>
      </c:scatterChart>
      <c:valAx>
        <c:axId val="1419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 (</a:t>
                </a:r>
                <a:r>
                  <a:rPr lang="ru-RU"/>
                  <a:t>Концентрация)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034432"/>
        <c:crosses val="autoZero"/>
        <c:crossBetween val="midCat"/>
      </c:valAx>
      <c:valAx>
        <c:axId val="142034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946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X2 (</a:t>
            </a:r>
            <a:r>
              <a:rPr lang="ru-RU"/>
              <a:t>Температура) 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Надстройка!$C$7:$C$37</c:f>
              <c:numCache>
                <c:formatCode>General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Надстройка!$W$31:$W$61</c:f>
              <c:numCache>
                <c:formatCode>General</c:formatCode>
                <c:ptCount val="31"/>
                <c:pt idx="0">
                  <c:v>6.2265016131343174</c:v>
                </c:pt>
                <c:pt idx="1">
                  <c:v>6.5774322921846533</c:v>
                </c:pt>
                <c:pt idx="2">
                  <c:v>6.8611911901290483</c:v>
                </c:pt>
                <c:pt idx="3">
                  <c:v>-3.0174386368425132</c:v>
                </c:pt>
                <c:pt idx="4">
                  <c:v>7.6851147508238427</c:v>
                </c:pt>
                <c:pt idx="5">
                  <c:v>7.6986183100015921</c:v>
                </c:pt>
                <c:pt idx="6">
                  <c:v>2.6835465364809323</c:v>
                </c:pt>
                <c:pt idx="7">
                  <c:v>-8.640907194208225</c:v>
                </c:pt>
                <c:pt idx="8">
                  <c:v>-9.8571482962638299</c:v>
                </c:pt>
                <c:pt idx="9">
                  <c:v>1.4129451829314519</c:v>
                </c:pt>
                <c:pt idx="10">
                  <c:v>-2.5399653673378282</c:v>
                </c:pt>
                <c:pt idx="11">
                  <c:v>-8.4658687992515809</c:v>
                </c:pt>
                <c:pt idx="12">
                  <c:v>0.23668458841476081</c:v>
                </c:pt>
                <c:pt idx="13">
                  <c:v>-7.9127307473177666</c:v>
                </c:pt>
                <c:pt idx="14">
                  <c:v>0.66829060774877291</c:v>
                </c:pt>
                <c:pt idx="15">
                  <c:v>5.099896627082785</c:v>
                </c:pt>
                <c:pt idx="16">
                  <c:v>-2.6506223950915029</c:v>
                </c:pt>
                <c:pt idx="17">
                  <c:v>-2.1035329453607687</c:v>
                </c:pt>
                <c:pt idx="18">
                  <c:v>-0.18508447042165699</c:v>
                </c:pt>
                <c:pt idx="19">
                  <c:v>0.8010659556177302</c:v>
                </c:pt>
                <c:pt idx="20">
                  <c:v>-3.6044091301379666</c:v>
                </c:pt>
                <c:pt idx="21">
                  <c:v>2.9631086657508234</c:v>
                </c:pt>
                <c:pt idx="22">
                  <c:v>-9.2600572232851022</c:v>
                </c:pt>
                <c:pt idx="23">
                  <c:v>1.4492590917901964</c:v>
                </c:pt>
                <c:pt idx="24">
                  <c:v>-5.7669820102654086</c:v>
                </c:pt>
                <c:pt idx="25">
                  <c:v>-8.7397907366983958</c:v>
                </c:pt>
                <c:pt idx="26">
                  <c:v>2.8256286748531352</c:v>
                </c:pt>
                <c:pt idx="27">
                  <c:v>3.3121251156753715</c:v>
                </c:pt>
                <c:pt idx="28">
                  <c:v>2.298621556497622</c:v>
                </c:pt>
                <c:pt idx="29">
                  <c:v>3.4599722370650028</c:v>
                </c:pt>
                <c:pt idx="30">
                  <c:v>10.484534956300394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1-4342-9362-A750A5B14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63104"/>
        <c:axId val="142065024"/>
      </c:scatterChart>
      <c:valAx>
        <c:axId val="14206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 (</a:t>
                </a:r>
                <a:r>
                  <a:rPr lang="ru-RU"/>
                  <a:t>Температура)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065024"/>
        <c:crosses val="autoZero"/>
        <c:crossBetween val="midCat"/>
      </c:valAx>
      <c:valAx>
        <c:axId val="142065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063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(</a:t>
            </a:r>
            <a:r>
              <a:rPr lang="ru-RU"/>
              <a:t>Концентрация) График подбора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 (Прочность)</c:v>
          </c:tx>
          <c:spPr>
            <a:ln w="28575">
              <a:noFill/>
            </a:ln>
          </c:spPr>
          <c:xVal>
            <c:numRef>
              <c:f>Надстройка!$B$7:$B$37</c:f>
              <c:numCache>
                <c:formatCode>General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Надстройка!$D$7:$D$37</c:f>
              <c:numCache>
                <c:formatCode>General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D-4D94-AC65-D94F2D2FBE76}"/>
            </c:ext>
          </c:extLst>
        </c:ser>
        <c:ser>
          <c:idx val="1"/>
          <c:order val="1"/>
          <c:tx>
            <c:v>Предсказанное Y (Прочность)</c:v>
          </c:tx>
          <c:spPr>
            <a:ln w="28575">
              <a:noFill/>
            </a:ln>
          </c:spPr>
          <c:xVal>
            <c:numRef>
              <c:f>Надстройка!$B$7:$B$37</c:f>
              <c:numCache>
                <c:formatCode>General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Надстройка!$V$31:$V$61</c:f>
              <c:numCache>
                <c:formatCode>General</c:formatCode>
                <c:ptCount val="31"/>
                <c:pt idx="0">
                  <c:v>53.773498386865683</c:v>
                </c:pt>
                <c:pt idx="1">
                  <c:v>54.422567707815347</c:v>
                </c:pt>
                <c:pt idx="2">
                  <c:v>58.138808809870952</c:v>
                </c:pt>
                <c:pt idx="3">
                  <c:v>33.517438636842513</c:v>
                </c:pt>
                <c:pt idx="4">
                  <c:v>55.814885249176157</c:v>
                </c:pt>
                <c:pt idx="5">
                  <c:v>57.301381689998408</c:v>
                </c:pt>
                <c:pt idx="6">
                  <c:v>41.316453463519068</c:v>
                </c:pt>
                <c:pt idx="7">
                  <c:v>60.640907194208225</c:v>
                </c:pt>
                <c:pt idx="8">
                  <c:v>64.35714829626383</c:v>
                </c:pt>
                <c:pt idx="9">
                  <c:v>28.587054817068548</c:v>
                </c:pt>
                <c:pt idx="10">
                  <c:v>28.539965367337828</c:v>
                </c:pt>
                <c:pt idx="11">
                  <c:v>31.465868799251581</c:v>
                </c:pt>
                <c:pt idx="12">
                  <c:v>53.763315411585239</c:v>
                </c:pt>
                <c:pt idx="13">
                  <c:v>43.912730747317767</c:v>
                </c:pt>
                <c:pt idx="14">
                  <c:v>52.831709392251227</c:v>
                </c:pt>
                <c:pt idx="15">
                  <c:v>51.900103372917215</c:v>
                </c:pt>
                <c:pt idx="16">
                  <c:v>36.150622395091503</c:v>
                </c:pt>
                <c:pt idx="17">
                  <c:v>36.103532945360769</c:v>
                </c:pt>
                <c:pt idx="18">
                  <c:v>44.185084470421657</c:v>
                </c:pt>
                <c:pt idx="19">
                  <c:v>32.19893404438227</c:v>
                </c:pt>
                <c:pt idx="20">
                  <c:v>42.604409130137967</c:v>
                </c:pt>
                <c:pt idx="21">
                  <c:v>50.036891334249177</c:v>
                </c:pt>
                <c:pt idx="22">
                  <c:v>47.760057223285102</c:v>
                </c:pt>
                <c:pt idx="23">
                  <c:v>38.050740908209804</c:v>
                </c:pt>
                <c:pt idx="24">
                  <c:v>41.766982010265409</c:v>
                </c:pt>
                <c:pt idx="25">
                  <c:v>17.239790736698396</c:v>
                </c:pt>
                <c:pt idx="26">
                  <c:v>27.174371325146865</c:v>
                </c:pt>
                <c:pt idx="27">
                  <c:v>25.687874884324629</c:v>
                </c:pt>
                <c:pt idx="28">
                  <c:v>24.201378443502378</c:v>
                </c:pt>
                <c:pt idx="29">
                  <c:v>21.040027762934997</c:v>
                </c:pt>
                <c:pt idx="30">
                  <c:v>16.015465043699606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DD-4D94-AC65-D94F2D2F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72544"/>
        <c:axId val="142174464"/>
      </c:scatterChart>
      <c:valAx>
        <c:axId val="14217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 (</a:t>
                </a:r>
                <a:r>
                  <a:rPr lang="ru-RU"/>
                  <a:t>Концентрация)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74464"/>
        <c:crosses val="autoZero"/>
        <c:crossBetween val="midCat"/>
      </c:valAx>
      <c:valAx>
        <c:axId val="142174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 (</a:t>
                </a:r>
                <a:r>
                  <a:rPr lang="ru-RU"/>
                  <a:t>Прочность)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72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X2 (</a:t>
            </a:r>
            <a:r>
              <a:rPr lang="ru-RU"/>
              <a:t>Температура) График подбора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 (Прочность)</c:v>
          </c:tx>
          <c:spPr>
            <a:ln w="28575">
              <a:noFill/>
            </a:ln>
          </c:spPr>
          <c:xVal>
            <c:numRef>
              <c:f>Надстройка!$C$7:$C$37</c:f>
              <c:numCache>
                <c:formatCode>General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Надстройка!$D$7:$D$37</c:f>
              <c:numCache>
                <c:formatCode>General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6-445C-9507-F7133A6BF5DB}"/>
            </c:ext>
          </c:extLst>
        </c:ser>
        <c:ser>
          <c:idx val="1"/>
          <c:order val="1"/>
          <c:tx>
            <c:v>Предсказанное Y (Прочность)</c:v>
          </c:tx>
          <c:spPr>
            <a:ln w="28575">
              <a:noFill/>
            </a:ln>
          </c:spPr>
          <c:xVal>
            <c:numRef>
              <c:f>Надстройка!$C$7:$C$37</c:f>
              <c:numCache>
                <c:formatCode>General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Надстройка!$V$31:$V$61</c:f>
              <c:numCache>
                <c:formatCode>General</c:formatCode>
                <c:ptCount val="31"/>
                <c:pt idx="0">
                  <c:v>53.773498386865683</c:v>
                </c:pt>
                <c:pt idx="1">
                  <c:v>54.422567707815347</c:v>
                </c:pt>
                <c:pt idx="2">
                  <c:v>58.138808809870952</c:v>
                </c:pt>
                <c:pt idx="3">
                  <c:v>33.517438636842513</c:v>
                </c:pt>
                <c:pt idx="4">
                  <c:v>55.814885249176157</c:v>
                </c:pt>
                <c:pt idx="5">
                  <c:v>57.301381689998408</c:v>
                </c:pt>
                <c:pt idx="6">
                  <c:v>41.316453463519068</c:v>
                </c:pt>
                <c:pt idx="7">
                  <c:v>60.640907194208225</c:v>
                </c:pt>
                <c:pt idx="8">
                  <c:v>64.35714829626383</c:v>
                </c:pt>
                <c:pt idx="9">
                  <c:v>28.587054817068548</c:v>
                </c:pt>
                <c:pt idx="10">
                  <c:v>28.539965367337828</c:v>
                </c:pt>
                <c:pt idx="11">
                  <c:v>31.465868799251581</c:v>
                </c:pt>
                <c:pt idx="12">
                  <c:v>53.763315411585239</c:v>
                </c:pt>
                <c:pt idx="13">
                  <c:v>43.912730747317767</c:v>
                </c:pt>
                <c:pt idx="14">
                  <c:v>52.831709392251227</c:v>
                </c:pt>
                <c:pt idx="15">
                  <c:v>51.900103372917215</c:v>
                </c:pt>
                <c:pt idx="16">
                  <c:v>36.150622395091503</c:v>
                </c:pt>
                <c:pt idx="17">
                  <c:v>36.103532945360769</c:v>
                </c:pt>
                <c:pt idx="18">
                  <c:v>44.185084470421657</c:v>
                </c:pt>
                <c:pt idx="19">
                  <c:v>32.19893404438227</c:v>
                </c:pt>
                <c:pt idx="20">
                  <c:v>42.604409130137967</c:v>
                </c:pt>
                <c:pt idx="21">
                  <c:v>50.036891334249177</c:v>
                </c:pt>
                <c:pt idx="22">
                  <c:v>47.760057223285102</c:v>
                </c:pt>
                <c:pt idx="23">
                  <c:v>38.050740908209804</c:v>
                </c:pt>
                <c:pt idx="24">
                  <c:v>41.766982010265409</c:v>
                </c:pt>
                <c:pt idx="25">
                  <c:v>17.239790736698396</c:v>
                </c:pt>
                <c:pt idx="26">
                  <c:v>27.174371325146865</c:v>
                </c:pt>
                <c:pt idx="27">
                  <c:v>25.687874884324629</c:v>
                </c:pt>
                <c:pt idx="28">
                  <c:v>24.201378443502378</c:v>
                </c:pt>
                <c:pt idx="29">
                  <c:v>21.040027762934997</c:v>
                </c:pt>
                <c:pt idx="30">
                  <c:v>16.015465043699606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6-445C-9507-F7133A6B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2000"/>
        <c:axId val="142202368"/>
      </c:scatterChart>
      <c:valAx>
        <c:axId val="14219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 (</a:t>
                </a:r>
                <a:r>
                  <a:rPr lang="ru-RU"/>
                  <a:t>Температура)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202368"/>
        <c:crosses val="autoZero"/>
        <c:crossBetween val="midCat"/>
      </c:valAx>
      <c:valAx>
        <c:axId val="14220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 (</a:t>
                </a:r>
                <a:r>
                  <a:rPr lang="ru-RU"/>
                  <a:t>Прочность)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92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нормального распределения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Надстройка!$Z$31:$Z$61</c:f>
              <c:numCache>
                <c:formatCode>General</c:formatCode>
                <c:ptCount val="31"/>
                <c:pt idx="0">
                  <c:v>1.6129032258064515</c:v>
                </c:pt>
                <c:pt idx="1">
                  <c:v>4.8387096774193541</c:v>
                </c:pt>
                <c:pt idx="2">
                  <c:v>8.064516129032258</c:v>
                </c:pt>
                <c:pt idx="3">
                  <c:v>11.29032258064516</c:v>
                </c:pt>
                <c:pt idx="4">
                  <c:v>14.516129032258064</c:v>
                </c:pt>
                <c:pt idx="5">
                  <c:v>17.741935483870968</c:v>
                </c:pt>
                <c:pt idx="6">
                  <c:v>20.967741935483868</c:v>
                </c:pt>
                <c:pt idx="7">
                  <c:v>24.193548387096772</c:v>
                </c:pt>
                <c:pt idx="8">
                  <c:v>27.419354838709676</c:v>
                </c:pt>
                <c:pt idx="9">
                  <c:v>30.64516129032258</c:v>
                </c:pt>
                <c:pt idx="10">
                  <c:v>33.87096774193548</c:v>
                </c:pt>
                <c:pt idx="11">
                  <c:v>37.096774193548384</c:v>
                </c:pt>
                <c:pt idx="12">
                  <c:v>40.322580645161281</c:v>
                </c:pt>
                <c:pt idx="13">
                  <c:v>43.548387096774185</c:v>
                </c:pt>
                <c:pt idx="14">
                  <c:v>46.774193548387089</c:v>
                </c:pt>
                <c:pt idx="15">
                  <c:v>49.999999999999993</c:v>
                </c:pt>
                <c:pt idx="16">
                  <c:v>53.225806451612897</c:v>
                </c:pt>
                <c:pt idx="17">
                  <c:v>56.451612903225801</c:v>
                </c:pt>
                <c:pt idx="18">
                  <c:v>59.677419354838705</c:v>
                </c:pt>
                <c:pt idx="19">
                  <c:v>62.903225806451609</c:v>
                </c:pt>
                <c:pt idx="20">
                  <c:v>66.129032258064512</c:v>
                </c:pt>
                <c:pt idx="21">
                  <c:v>69.354838709677409</c:v>
                </c:pt>
                <c:pt idx="22">
                  <c:v>72.58064516129032</c:v>
                </c:pt>
                <c:pt idx="23">
                  <c:v>75.806451612903217</c:v>
                </c:pt>
                <c:pt idx="24">
                  <c:v>79.032258064516114</c:v>
                </c:pt>
                <c:pt idx="25">
                  <c:v>82.258064516129025</c:v>
                </c:pt>
                <c:pt idx="26">
                  <c:v>85.483870967741922</c:v>
                </c:pt>
                <c:pt idx="27">
                  <c:v>88.709677419354833</c:v>
                </c:pt>
                <c:pt idx="28">
                  <c:v>91.93548387096773</c:v>
                </c:pt>
                <c:pt idx="29">
                  <c:v>95.161290322580641</c:v>
                </c:pt>
                <c:pt idx="30">
                  <c:v>98.387096774193537</c:v>
                </c:pt>
              </c:numCache>
            </c:numRef>
          </c:xVal>
          <c:yVal>
            <c:numRef>
              <c:f>Надстройка!$AA$31:$AA$61</c:f>
              <c:numCache>
                <c:formatCode>General</c:formatCode>
                <c:ptCount val="31"/>
                <c:pt idx="0">
                  <c:v>8.5</c:v>
                </c:pt>
                <c:pt idx="1">
                  <c:v>23</c:v>
                </c:pt>
                <c:pt idx="2">
                  <c:v>24.5</c:v>
                </c:pt>
                <c:pt idx="3">
                  <c:v>26</c:v>
                </c:pt>
                <c:pt idx="4">
                  <c:v>26.5</c:v>
                </c:pt>
                <c:pt idx="5">
                  <c:v>26.5</c:v>
                </c:pt>
                <c:pt idx="6">
                  <c:v>29</c:v>
                </c:pt>
                <c:pt idx="7">
                  <c:v>30</c:v>
                </c:pt>
                <c:pt idx="8">
                  <c:v>30</c:v>
                </c:pt>
                <c:pt idx="9">
                  <c:v>30.5</c:v>
                </c:pt>
                <c:pt idx="10">
                  <c:v>33</c:v>
                </c:pt>
                <c:pt idx="11">
                  <c:v>33.5</c:v>
                </c:pt>
                <c:pt idx="12">
                  <c:v>34</c:v>
                </c:pt>
                <c:pt idx="13">
                  <c:v>36</c:v>
                </c:pt>
                <c:pt idx="14">
                  <c:v>36</c:v>
                </c:pt>
                <c:pt idx="15">
                  <c:v>38.5</c:v>
                </c:pt>
                <c:pt idx="16">
                  <c:v>39</c:v>
                </c:pt>
                <c:pt idx="17">
                  <c:v>39.5</c:v>
                </c:pt>
                <c:pt idx="18">
                  <c:v>44</c:v>
                </c:pt>
                <c:pt idx="19">
                  <c:v>44</c:v>
                </c:pt>
                <c:pt idx="20">
                  <c:v>52</c:v>
                </c:pt>
                <c:pt idx="21">
                  <c:v>53</c:v>
                </c:pt>
                <c:pt idx="22">
                  <c:v>53.5</c:v>
                </c:pt>
                <c:pt idx="23">
                  <c:v>54</c:v>
                </c:pt>
                <c:pt idx="24">
                  <c:v>54.5</c:v>
                </c:pt>
                <c:pt idx="25">
                  <c:v>57</c:v>
                </c:pt>
                <c:pt idx="26">
                  <c:v>60</c:v>
                </c:pt>
                <c:pt idx="27">
                  <c:v>61</c:v>
                </c:pt>
                <c:pt idx="28">
                  <c:v>63.5</c:v>
                </c:pt>
                <c:pt idx="29">
                  <c:v>65</c:v>
                </c:pt>
                <c:pt idx="30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7-4151-B9F9-93CE704A7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31424"/>
        <c:axId val="142237696"/>
      </c:scatterChart>
      <c:valAx>
        <c:axId val="14223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Персентиль выборки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237696"/>
        <c:crosses val="autoZero"/>
        <c:crossBetween val="midCat"/>
      </c:valAx>
      <c:valAx>
        <c:axId val="14223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 (</a:t>
                </a:r>
                <a:r>
                  <a:rPr lang="ru-RU"/>
                  <a:t>Прочность)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23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400" b="1" i="0" baseline="0">
                <a:effectLst/>
              </a:rPr>
              <a:t>X1 (</a:t>
            </a:r>
            <a:r>
              <a:rPr lang="ru-RU" sz="1400" b="1" i="0" baseline="0">
                <a:effectLst/>
              </a:rPr>
              <a:t>Концентрация) График подбора</a:t>
            </a:r>
            <a:endParaRPr lang="ru-RU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56429788381717"/>
          <c:y val="0.20158547254763887"/>
          <c:w val="0.79326373676974593"/>
          <c:h val="0.53099118707722515"/>
        </c:manualLayout>
      </c:layout>
      <c:scatterChart>
        <c:scatterStyle val="lineMarker"/>
        <c:varyColors val="0"/>
        <c:ser>
          <c:idx val="1"/>
          <c:order val="0"/>
          <c:tx>
            <c:strRef>
              <c:f>Надстройка!$I$30</c:f>
              <c:strCache>
                <c:ptCount val="1"/>
                <c:pt idx="0">
                  <c:v>Предсказанное 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Надстройка!$B$7:$B$37</c:f>
              <c:numCache>
                <c:formatCode>General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Надстройка!$I$31:$I$61</c:f>
              <c:numCache>
                <c:formatCode>General</c:formatCode>
                <c:ptCount val="31"/>
                <c:pt idx="0">
                  <c:v>53.773498386865683</c:v>
                </c:pt>
                <c:pt idx="1">
                  <c:v>54.422567707815347</c:v>
                </c:pt>
                <c:pt idx="2">
                  <c:v>58.138808809870952</c:v>
                </c:pt>
                <c:pt idx="3">
                  <c:v>33.517438636842513</c:v>
                </c:pt>
                <c:pt idx="4">
                  <c:v>55.814885249176157</c:v>
                </c:pt>
                <c:pt idx="5">
                  <c:v>57.301381689998408</c:v>
                </c:pt>
                <c:pt idx="6">
                  <c:v>41.316453463519068</c:v>
                </c:pt>
                <c:pt idx="7">
                  <c:v>60.640907194208225</c:v>
                </c:pt>
                <c:pt idx="8">
                  <c:v>64.35714829626383</c:v>
                </c:pt>
                <c:pt idx="9">
                  <c:v>28.587054817068548</c:v>
                </c:pt>
                <c:pt idx="10">
                  <c:v>28.539965367337828</c:v>
                </c:pt>
                <c:pt idx="11">
                  <c:v>31.465868799251581</c:v>
                </c:pt>
                <c:pt idx="12">
                  <c:v>53.763315411585239</c:v>
                </c:pt>
                <c:pt idx="13">
                  <c:v>43.912730747317767</c:v>
                </c:pt>
                <c:pt idx="14">
                  <c:v>52.831709392251227</c:v>
                </c:pt>
                <c:pt idx="15">
                  <c:v>51.900103372917215</c:v>
                </c:pt>
                <c:pt idx="16">
                  <c:v>36.150622395091503</c:v>
                </c:pt>
                <c:pt idx="17">
                  <c:v>36.103532945360769</c:v>
                </c:pt>
                <c:pt idx="18">
                  <c:v>44.185084470421657</c:v>
                </c:pt>
                <c:pt idx="19">
                  <c:v>32.19893404438227</c:v>
                </c:pt>
                <c:pt idx="20">
                  <c:v>42.604409130137967</c:v>
                </c:pt>
                <c:pt idx="21">
                  <c:v>50.036891334249177</c:v>
                </c:pt>
                <c:pt idx="22">
                  <c:v>47.760057223285102</c:v>
                </c:pt>
                <c:pt idx="23">
                  <c:v>38.050740908209804</c:v>
                </c:pt>
                <c:pt idx="24">
                  <c:v>41.766982010265409</c:v>
                </c:pt>
                <c:pt idx="25">
                  <c:v>17.239790736698396</c:v>
                </c:pt>
                <c:pt idx="26">
                  <c:v>27.174371325146865</c:v>
                </c:pt>
                <c:pt idx="27">
                  <c:v>25.687874884324629</c:v>
                </c:pt>
                <c:pt idx="28">
                  <c:v>24.201378443502378</c:v>
                </c:pt>
                <c:pt idx="29">
                  <c:v>21.040027762934997</c:v>
                </c:pt>
                <c:pt idx="30">
                  <c:v>16.015465043699606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BA-4857-AEE0-B3F12E4C8F49}"/>
            </c:ext>
          </c:extLst>
        </c:ser>
        <c:ser>
          <c:idx val="0"/>
          <c:order val="1"/>
          <c:tx>
            <c:strRef>
              <c:f>Надстройка!$D$6</c:f>
              <c:strCache>
                <c:ptCount val="1"/>
                <c:pt idx="0">
                  <c:v>Y (Прочность)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Надстройка!$B$7:$B$37</c:f>
              <c:numCache>
                <c:formatCode>General</c:formatCode>
                <c:ptCount val="31"/>
                <c:pt idx="0">
                  <c:v>2400</c:v>
                </c:pt>
                <c:pt idx="1">
                  <c:v>2450</c:v>
                </c:pt>
                <c:pt idx="2">
                  <c:v>2450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2700</c:v>
                </c:pt>
                <c:pt idx="7">
                  <c:v>2700</c:v>
                </c:pt>
                <c:pt idx="8">
                  <c:v>2700</c:v>
                </c:pt>
                <c:pt idx="9">
                  <c:v>2750</c:v>
                </c:pt>
                <c:pt idx="10">
                  <c:v>2775</c:v>
                </c:pt>
                <c:pt idx="11">
                  <c:v>2800</c:v>
                </c:pt>
                <c:pt idx="12">
                  <c:v>2800</c:v>
                </c:pt>
                <c:pt idx="13">
                  <c:v>2900</c:v>
                </c:pt>
                <c:pt idx="14">
                  <c:v>2900</c:v>
                </c:pt>
                <c:pt idx="15">
                  <c:v>3000</c:v>
                </c:pt>
                <c:pt idx="16">
                  <c:v>3075</c:v>
                </c:pt>
                <c:pt idx="17">
                  <c:v>3100</c:v>
                </c:pt>
                <c:pt idx="18">
                  <c:v>3150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3225</c:v>
                </c:pt>
                <c:pt idx="23">
                  <c:v>3250</c:v>
                </c:pt>
                <c:pt idx="24">
                  <c:v>3250</c:v>
                </c:pt>
                <c:pt idx="25">
                  <c:v>3250</c:v>
                </c:pt>
                <c:pt idx="26">
                  <c:v>3500</c:v>
                </c:pt>
                <c:pt idx="27">
                  <c:v>3500</c:v>
                </c:pt>
                <c:pt idx="28">
                  <c:v>3500</c:v>
                </c:pt>
                <c:pt idx="29">
                  <c:v>3600</c:v>
                </c:pt>
                <c:pt idx="30">
                  <c:v>3900</c:v>
                </c:pt>
              </c:numCache>
            </c:numRef>
          </c:xVal>
          <c:yVal>
            <c:numRef>
              <c:f>Надстройка!$D$7:$D$37</c:f>
              <c:numCache>
                <c:formatCode>General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30.5</c:v>
                </c:pt>
                <c:pt idx="4">
                  <c:v>63.5</c:v>
                </c:pt>
                <c:pt idx="5">
                  <c:v>65</c:v>
                </c:pt>
                <c:pt idx="6">
                  <c:v>44</c:v>
                </c:pt>
                <c:pt idx="7">
                  <c:v>52</c:v>
                </c:pt>
                <c:pt idx="8">
                  <c:v>54.5</c:v>
                </c:pt>
                <c:pt idx="9">
                  <c:v>30</c:v>
                </c:pt>
                <c:pt idx="10">
                  <c:v>26</c:v>
                </c:pt>
                <c:pt idx="11">
                  <c:v>23</c:v>
                </c:pt>
                <c:pt idx="12">
                  <c:v>54</c:v>
                </c:pt>
                <c:pt idx="13">
                  <c:v>36</c:v>
                </c:pt>
                <c:pt idx="14">
                  <c:v>53.5</c:v>
                </c:pt>
                <c:pt idx="15">
                  <c:v>57</c:v>
                </c:pt>
                <c:pt idx="16">
                  <c:v>33.5</c:v>
                </c:pt>
                <c:pt idx="17">
                  <c:v>34</c:v>
                </c:pt>
                <c:pt idx="18">
                  <c:v>44</c:v>
                </c:pt>
                <c:pt idx="19">
                  <c:v>33</c:v>
                </c:pt>
                <c:pt idx="20">
                  <c:v>39</c:v>
                </c:pt>
                <c:pt idx="21">
                  <c:v>53</c:v>
                </c:pt>
                <c:pt idx="22">
                  <c:v>38.5</c:v>
                </c:pt>
                <c:pt idx="23">
                  <c:v>39.5</c:v>
                </c:pt>
                <c:pt idx="24">
                  <c:v>36</c:v>
                </c:pt>
                <c:pt idx="25">
                  <c:v>8.5</c:v>
                </c:pt>
                <c:pt idx="26">
                  <c:v>30</c:v>
                </c:pt>
                <c:pt idx="27">
                  <c:v>29</c:v>
                </c:pt>
                <c:pt idx="28">
                  <c:v>26.5</c:v>
                </c:pt>
                <c:pt idx="29">
                  <c:v>24.5</c:v>
                </c:pt>
                <c:pt idx="30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BA-4857-AEE0-B3F12E4C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98176"/>
        <c:axId val="141700096"/>
      </c:scatterChart>
      <c:valAx>
        <c:axId val="14169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layout>
            <c:manualLayout>
              <c:xMode val="edge"/>
              <c:yMode val="edge"/>
              <c:x val="0.7352980877390326"/>
              <c:y val="0.83583765443953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700096"/>
        <c:crosses val="autoZero"/>
        <c:crossBetween val="midCat"/>
      </c:valAx>
      <c:valAx>
        <c:axId val="141700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5.6808688387635753E-2"/>
              <c:y val="7.901841538100422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16981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0875416888678406E-2"/>
          <c:y val="0.9019896293451124"/>
          <c:w val="0.78553660007371451"/>
          <c:h val="9.27328891580860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Переменная </a:t>
            </a:r>
            <a:r>
              <a:rPr lang="en-US" sz="1400"/>
              <a:t>X 2 </a:t>
            </a:r>
            <a:r>
              <a:rPr lang="ru-RU" sz="1400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Надстройка!$C$7:$C$37</c:f>
              <c:numCache>
                <c:formatCode>General</c:formatCode>
                <c:ptCount val="31"/>
                <c:pt idx="0">
                  <c:v>54.5</c:v>
                </c:pt>
                <c:pt idx="1">
                  <c:v>56</c:v>
                </c:pt>
                <c:pt idx="2">
                  <c:v>58.5</c:v>
                </c:pt>
                <c:pt idx="3">
                  <c:v>43</c:v>
                </c:pt>
                <c:pt idx="4">
                  <c:v>58</c:v>
                </c:pt>
                <c:pt idx="5">
                  <c:v>59</c:v>
                </c:pt>
                <c:pt idx="6">
                  <c:v>52.5</c:v>
                </c:pt>
                <c:pt idx="7">
                  <c:v>65.5</c:v>
                </c:pt>
                <c:pt idx="8">
                  <c:v>68</c:v>
                </c:pt>
                <c:pt idx="9">
                  <c:v>45</c:v>
                </c:pt>
                <c:pt idx="10">
                  <c:v>45.5</c:v>
                </c:pt>
                <c:pt idx="11">
                  <c:v>48</c:v>
                </c:pt>
                <c:pt idx="12">
                  <c:v>63</c:v>
                </c:pt>
                <c:pt idx="13">
                  <c:v>58.5</c:v>
                </c:pt>
                <c:pt idx="14">
                  <c:v>64.5</c:v>
                </c:pt>
                <c:pt idx="15">
                  <c:v>66</c:v>
                </c:pt>
                <c:pt idx="16">
                  <c:v>57</c:v>
                </c:pt>
                <c:pt idx="17">
                  <c:v>57.5</c:v>
                </c:pt>
                <c:pt idx="18">
                  <c:v>64</c:v>
                </c:pt>
                <c:pt idx="19">
                  <c:v>57</c:v>
                </c:pt>
                <c:pt idx="20">
                  <c:v>64</c:v>
                </c:pt>
                <c:pt idx="21">
                  <c:v>69</c:v>
                </c:pt>
                <c:pt idx="22">
                  <c:v>68</c:v>
                </c:pt>
                <c:pt idx="23">
                  <c:v>62</c:v>
                </c:pt>
                <c:pt idx="24">
                  <c:v>64.5</c:v>
                </c:pt>
                <c:pt idx="25">
                  <c:v>48</c:v>
                </c:pt>
                <c:pt idx="26">
                  <c:v>60</c:v>
                </c:pt>
                <c:pt idx="27">
                  <c:v>59</c:v>
                </c:pt>
                <c:pt idx="28">
                  <c:v>58</c:v>
                </c:pt>
                <c:pt idx="29">
                  <c:v>58</c:v>
                </c:pt>
                <c:pt idx="30">
                  <c:v>61</c:v>
                </c:pt>
              </c:numCache>
            </c:numRef>
          </c:xVal>
          <c:yVal>
            <c:numRef>
              <c:f>Надстройка!$J$31:$J$61</c:f>
              <c:numCache>
                <c:formatCode>General</c:formatCode>
                <c:ptCount val="31"/>
                <c:pt idx="0">
                  <c:v>6.2265016131343174</c:v>
                </c:pt>
                <c:pt idx="1">
                  <c:v>6.5774322921846533</c:v>
                </c:pt>
                <c:pt idx="2">
                  <c:v>6.8611911901290483</c:v>
                </c:pt>
                <c:pt idx="3">
                  <c:v>-3.0174386368425132</c:v>
                </c:pt>
                <c:pt idx="4">
                  <c:v>7.6851147508238427</c:v>
                </c:pt>
                <c:pt idx="5">
                  <c:v>7.6986183100015921</c:v>
                </c:pt>
                <c:pt idx="6">
                  <c:v>2.6835465364809323</c:v>
                </c:pt>
                <c:pt idx="7">
                  <c:v>-8.640907194208225</c:v>
                </c:pt>
                <c:pt idx="8">
                  <c:v>-9.8571482962638299</c:v>
                </c:pt>
                <c:pt idx="9">
                  <c:v>1.4129451829314519</c:v>
                </c:pt>
                <c:pt idx="10">
                  <c:v>-2.5399653673378282</c:v>
                </c:pt>
                <c:pt idx="11">
                  <c:v>-8.4658687992515809</c:v>
                </c:pt>
                <c:pt idx="12">
                  <c:v>0.23668458841476081</c:v>
                </c:pt>
                <c:pt idx="13">
                  <c:v>-7.9127307473177666</c:v>
                </c:pt>
                <c:pt idx="14">
                  <c:v>0.66829060774877291</c:v>
                </c:pt>
                <c:pt idx="15">
                  <c:v>5.099896627082785</c:v>
                </c:pt>
                <c:pt idx="16">
                  <c:v>-2.6506223950915029</c:v>
                </c:pt>
                <c:pt idx="17">
                  <c:v>-2.1035329453607687</c:v>
                </c:pt>
                <c:pt idx="18">
                  <c:v>-0.18508447042165699</c:v>
                </c:pt>
                <c:pt idx="19">
                  <c:v>0.8010659556177302</c:v>
                </c:pt>
                <c:pt idx="20">
                  <c:v>-3.6044091301379666</c:v>
                </c:pt>
                <c:pt idx="21">
                  <c:v>2.9631086657508234</c:v>
                </c:pt>
                <c:pt idx="22">
                  <c:v>-9.2600572232851022</c:v>
                </c:pt>
                <c:pt idx="23">
                  <c:v>1.4492590917901964</c:v>
                </c:pt>
                <c:pt idx="24">
                  <c:v>-5.7669820102654086</c:v>
                </c:pt>
                <c:pt idx="25">
                  <c:v>-8.7397907366983958</c:v>
                </c:pt>
                <c:pt idx="26">
                  <c:v>2.8256286748531352</c:v>
                </c:pt>
                <c:pt idx="27">
                  <c:v>3.3121251156753715</c:v>
                </c:pt>
                <c:pt idx="28">
                  <c:v>2.298621556497622</c:v>
                </c:pt>
                <c:pt idx="29">
                  <c:v>3.4599722370650028</c:v>
                </c:pt>
                <c:pt idx="30">
                  <c:v>10.484534956300394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F-47EC-8956-9E89502F3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25056"/>
        <c:axId val="141731328"/>
      </c:scatterChart>
      <c:valAx>
        <c:axId val="1417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731328"/>
        <c:crosses val="autoZero"/>
        <c:crossBetween val="midCat"/>
      </c:valAx>
      <c:valAx>
        <c:axId val="14173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725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Q$30" horiz="1" inc="5" max="360" page="30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E$28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228599</xdr:colOff>
      <xdr:row>19</xdr:row>
      <xdr:rowOff>0</xdr:rowOff>
    </xdr:from>
    <xdr:to>
      <xdr:col>15</xdr:col>
      <xdr:colOff>0</xdr:colOff>
      <xdr:row>31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247649</xdr:colOff>
      <xdr:row>7</xdr:row>
      <xdr:rowOff>0</xdr:rowOff>
    </xdr:from>
    <xdr:to>
      <xdr:col>10</xdr:col>
      <xdr:colOff>1</xdr:colOff>
      <xdr:row>19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45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0</xdr:colOff>
      <xdr:row>69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57</xdr:row>
      <xdr:rowOff>0</xdr:rowOff>
    </xdr:from>
    <xdr:to>
      <xdr:col>15</xdr:col>
      <xdr:colOff>0</xdr:colOff>
      <xdr:row>69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15</xdr:col>
      <xdr:colOff>0</xdr:colOff>
      <xdr:row>45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19</xdr:col>
      <xdr:colOff>0</xdr:colOff>
      <xdr:row>45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19</xdr:col>
      <xdr:colOff>0</xdr:colOff>
      <xdr:row>57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381000</xdr:colOff>
      <xdr:row>67</xdr:row>
      <xdr:rowOff>85725</xdr:rowOff>
    </xdr:from>
    <xdr:to>
      <xdr:col>19</xdr:col>
      <xdr:colOff>0</xdr:colOff>
      <xdr:row>68</xdr:row>
      <xdr:rowOff>171450</xdr:rowOff>
    </xdr:to>
    <xdr:sp macro="" textlink="">
      <xdr:nvSpPr>
        <xdr:cNvPr id="11" name="TextBox 10"/>
        <xdr:cNvSpPr txBox="1"/>
      </xdr:nvSpPr>
      <xdr:spPr>
        <a:xfrm>
          <a:off x="9505950" y="13296900"/>
          <a:ext cx="8382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excel2.ru</a:t>
          </a:r>
          <a:endParaRPr lang="ru-RU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1</xdr:rowOff>
    </xdr:from>
    <xdr:to>
      <xdr:col>10</xdr:col>
      <xdr:colOff>0</xdr:colOff>
      <xdr:row>61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14</xdr:col>
      <xdr:colOff>0</xdr:colOff>
      <xdr:row>61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10</xdr:col>
      <xdr:colOff>0</xdr:colOff>
      <xdr:row>47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48</xdr:row>
      <xdr:rowOff>0</xdr:rowOff>
    </xdr:from>
    <xdr:to>
      <xdr:col>25</xdr:col>
      <xdr:colOff>0</xdr:colOff>
      <xdr:row>61</xdr:row>
      <xdr:rowOff>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</xdr:colOff>
      <xdr:row>47</xdr:row>
      <xdr:rowOff>190499</xdr:rowOff>
    </xdr:from>
    <xdr:to>
      <xdr:col>29</xdr:col>
      <xdr:colOff>0</xdr:colOff>
      <xdr:row>61</xdr:row>
      <xdr:rowOff>0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25</xdr:col>
      <xdr:colOff>0</xdr:colOff>
      <xdr:row>47</xdr:row>
      <xdr:rowOff>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19</xdr:col>
          <xdr:colOff>0</xdr:colOff>
          <xdr:row>31</xdr:row>
          <xdr:rowOff>0</xdr:rowOff>
        </xdr:to>
        <xdr:sp macro="" textlink="">
          <xdr:nvSpPr>
            <xdr:cNvPr id="3084" name="Scroll Bar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70</xdr:row>
      <xdr:rowOff>0</xdr:rowOff>
    </xdr:from>
    <xdr:to>
      <xdr:col>10</xdr:col>
      <xdr:colOff>0</xdr:colOff>
      <xdr:row>82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83</xdr:row>
      <xdr:rowOff>0</xdr:rowOff>
    </xdr:from>
    <xdr:to>
      <xdr:col>10</xdr:col>
      <xdr:colOff>0</xdr:colOff>
      <xdr:row>96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83</xdr:row>
      <xdr:rowOff>0</xdr:rowOff>
    </xdr:from>
    <xdr:to>
      <xdr:col>14</xdr:col>
      <xdr:colOff>0</xdr:colOff>
      <xdr:row>96</xdr:row>
      <xdr:rowOff>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43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15</xdr:col>
      <xdr:colOff>0</xdr:colOff>
      <xdr:row>55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228039</xdr:colOff>
          <xdr:row>27</xdr:row>
          <xdr:rowOff>17370</xdr:rowOff>
        </xdr:from>
        <xdr:to>
          <xdr:col>4</xdr:col>
          <xdr:colOff>123264</xdr:colOff>
          <xdr:row>28</xdr:row>
          <xdr:rowOff>398370</xdr:rowOff>
        </xdr:to>
        <xdr:grpSp>
          <xdr:nvGrpSpPr>
            <xdr:cNvPr id="5" name="Группа 4"/>
            <xdr:cNvGrpSpPr/>
          </xdr:nvGrpSpPr>
          <xdr:grpSpPr>
            <a:xfrm>
              <a:off x="1875304" y="5519458"/>
              <a:ext cx="1732989" cy="571500"/>
              <a:chOff x="1933593" y="3743406"/>
              <a:chExt cx="1743075" cy="590549"/>
            </a:xfrm>
          </xdr:grpSpPr>
          <xdr:sp macro="" textlink="">
            <xdr:nvSpPr>
              <xdr:cNvPr id="11265" name="Group Box 1" hidden="1">
                <a:extLst>
                  <a:ext uri="{63B3BB69-23CF-44E3-9099-C40C66FF867C}">
                    <a14:compatExt spid="_x0000_s11265"/>
                  </a:ext>
                </a:extLst>
              </xdr:cNvPr>
              <xdr:cNvSpPr/>
            </xdr:nvSpPr>
            <xdr:spPr bwMode="auto">
              <a:xfrm>
                <a:off x="1933593" y="3743406"/>
                <a:ext cx="1743075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Выбор разброса Х1 и Х2</a:t>
                </a:r>
              </a:p>
            </xdr:txBody>
          </xdr:sp>
          <xdr:sp macro="" textlink="">
            <xdr:nvSpPr>
              <xdr:cNvPr id="11266" name="Option Button 2" hidden="1">
                <a:extLst>
                  <a:ext uri="{63B3BB69-23CF-44E3-9099-C40C66FF867C}">
                    <a14:compatExt spid="_x0000_s11266"/>
                  </a:ext>
                </a:extLst>
              </xdr:cNvPr>
              <xdr:cNvSpPr/>
            </xdr:nvSpPr>
            <xdr:spPr bwMode="auto">
              <a:xfrm>
                <a:off x="2047875" y="3848100"/>
                <a:ext cx="13049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Случайный</a:t>
                </a:r>
              </a:p>
            </xdr:txBody>
          </xdr:sp>
          <xdr:sp macro="" textlink="">
            <xdr:nvSpPr>
              <xdr:cNvPr id="11267" name="Option Button 3" hidden="1">
                <a:extLst>
                  <a:ext uri="{63B3BB69-23CF-44E3-9099-C40C66FF867C}">
                    <a14:compatExt spid="_x0000_s11267"/>
                  </a:ext>
                </a:extLst>
              </xdr:cNvPr>
              <xdr:cNvSpPr/>
            </xdr:nvSpPr>
            <xdr:spPr bwMode="auto">
              <a:xfrm>
                <a:off x="2047875" y="4086225"/>
                <a:ext cx="10858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По кругу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22</xdr:col>
      <xdr:colOff>0</xdr:colOff>
      <xdr:row>43</xdr:row>
      <xdr:rowOff>0</xdr:rowOff>
    </xdr:from>
    <xdr:to>
      <xdr:col>26</xdr:col>
      <xdr:colOff>0</xdr:colOff>
      <xdr:row>55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30</xdr:col>
      <xdr:colOff>0</xdr:colOff>
      <xdr:row>55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26</xdr:col>
      <xdr:colOff>0</xdr:colOff>
      <xdr:row>42</xdr:row>
      <xdr:rowOff>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43</xdr:row>
      <xdr:rowOff>0</xdr:rowOff>
    </xdr:from>
    <xdr:to>
      <xdr:col>19</xdr:col>
      <xdr:colOff>0</xdr:colOff>
      <xdr:row>56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87</xdr:row>
      <xdr:rowOff>78441</xdr:rowOff>
    </xdr:from>
    <xdr:to>
      <xdr:col>19</xdr:col>
      <xdr:colOff>0</xdr:colOff>
      <xdr:row>104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30</xdr:row>
      <xdr:rowOff>0</xdr:rowOff>
    </xdr:from>
    <xdr:to>
      <xdr:col>19</xdr:col>
      <xdr:colOff>0</xdr:colOff>
      <xdr:row>43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145677</xdr:colOff>
      <xdr:row>5</xdr:row>
      <xdr:rowOff>56028</xdr:rowOff>
    </xdr:from>
    <xdr:to>
      <xdr:col>25</xdr:col>
      <xdr:colOff>434228</xdr:colOff>
      <xdr:row>14</xdr:row>
      <xdr:rowOff>64432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258295</xdr:colOff>
      <xdr:row>7</xdr:row>
      <xdr:rowOff>19610</xdr:rowOff>
    </xdr:from>
    <xdr:to>
      <xdr:col>40</xdr:col>
      <xdr:colOff>568698</xdr:colOff>
      <xdr:row>17</xdr:row>
      <xdr:rowOff>19610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234762</xdr:colOff>
      <xdr:row>17</xdr:row>
      <xdr:rowOff>187699</xdr:rowOff>
    </xdr:from>
    <xdr:to>
      <xdr:col>35</xdr:col>
      <xdr:colOff>232520</xdr:colOff>
      <xdr:row>27</xdr:row>
      <xdr:rowOff>187698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346822</xdr:colOff>
      <xdr:row>17</xdr:row>
      <xdr:rowOff>187699</xdr:rowOff>
    </xdr:from>
    <xdr:to>
      <xdr:col>40</xdr:col>
      <xdr:colOff>593912</xdr:colOff>
      <xdr:row>28</xdr:row>
      <xdr:rowOff>11206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223558</xdr:colOff>
      <xdr:row>28</xdr:row>
      <xdr:rowOff>145677</xdr:rowOff>
    </xdr:from>
    <xdr:to>
      <xdr:col>35</xdr:col>
      <xdr:colOff>223558</xdr:colOff>
      <xdr:row>39</xdr:row>
      <xdr:rowOff>19610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56</xdr:row>
      <xdr:rowOff>0</xdr:rowOff>
    </xdr:from>
    <xdr:to>
      <xdr:col>19</xdr:col>
      <xdr:colOff>0</xdr:colOff>
      <xdr:row>72</xdr:row>
      <xdr:rowOff>0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19</xdr:col>
      <xdr:colOff>0</xdr:colOff>
      <xdr:row>87</xdr:row>
      <xdr:rowOff>123265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5</xdr:row>
      <xdr:rowOff>38100</xdr:rowOff>
    </xdr:from>
    <xdr:to>
      <xdr:col>12</xdr:col>
      <xdr:colOff>466585</xdr:colOff>
      <xdr:row>5</xdr:row>
      <xdr:rowOff>228576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1009650"/>
          <a:ext cx="1123810" cy="1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20</xdr:row>
      <xdr:rowOff>152400</xdr:rowOff>
    </xdr:from>
    <xdr:to>
      <xdr:col>8</xdr:col>
      <xdr:colOff>485646</xdr:colOff>
      <xdr:row>21</xdr:row>
      <xdr:rowOff>152376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4191000"/>
          <a:ext cx="1028571" cy="19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</xdr:row>
      <xdr:rowOff>38100</xdr:rowOff>
    </xdr:from>
    <xdr:to>
      <xdr:col>15</xdr:col>
      <xdr:colOff>161742</xdr:colOff>
      <xdr:row>5</xdr:row>
      <xdr:rowOff>228576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1200150"/>
          <a:ext cx="1466667" cy="1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Simple_Reg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нейный"/>
      <sheetName val="Диаграмма рассеяния"/>
      <sheetName val="Матричная форма"/>
      <sheetName val="Интервалы"/>
      <sheetName val="Адекватность"/>
      <sheetName val="Надстройка"/>
      <sheetName val="EXCEL2.RU"/>
    </sheetNames>
    <sheetDataSet>
      <sheetData sheetId="0" refreshError="1"/>
      <sheetData sheetId="1" refreshError="1"/>
      <sheetData sheetId="2" refreshError="1"/>
      <sheetData sheetId="3">
        <row r="53">
          <cell r="B53">
            <v>400</v>
          </cell>
          <cell r="C53">
            <v>1861.8778078086916</v>
          </cell>
        </row>
        <row r="54">
          <cell r="B54">
            <v>410</v>
          </cell>
          <cell r="C54">
            <v>2083.3868376064643</v>
          </cell>
        </row>
        <row r="55">
          <cell r="B55">
            <v>420</v>
          </cell>
          <cell r="C55">
            <v>1186.9681527470932</v>
          </cell>
        </row>
        <row r="56">
          <cell r="B56">
            <v>430</v>
          </cell>
          <cell r="C56">
            <v>2075.67220921324</v>
          </cell>
        </row>
        <row r="57">
          <cell r="B57">
            <v>440</v>
          </cell>
          <cell r="C57">
            <v>1164.5543001707729</v>
          </cell>
        </row>
        <row r="58">
          <cell r="B58">
            <v>450</v>
          </cell>
          <cell r="C58">
            <v>1623.2375129496709</v>
          </cell>
        </row>
        <row r="59">
          <cell r="B59">
            <v>460</v>
          </cell>
          <cell r="C59">
            <v>2169.9357913451181</v>
          </cell>
        </row>
        <row r="60">
          <cell r="B60">
            <v>470</v>
          </cell>
          <cell r="C60">
            <v>762.26895570758438</v>
          </cell>
        </row>
        <row r="61">
          <cell r="B61">
            <v>480</v>
          </cell>
          <cell r="C61">
            <v>1734.5079825235032</v>
          </cell>
        </row>
        <row r="62">
          <cell r="B62">
            <v>490</v>
          </cell>
          <cell r="C62">
            <v>1417.7209642604039</v>
          </cell>
        </row>
        <row r="63">
          <cell r="B63">
            <v>500</v>
          </cell>
          <cell r="C63">
            <v>1146.8108782409595</v>
          </cell>
        </row>
        <row r="64">
          <cell r="B64">
            <v>510</v>
          </cell>
          <cell r="C64">
            <v>2205.5637447464237</v>
          </cell>
        </row>
        <row r="65">
          <cell r="B65">
            <v>520</v>
          </cell>
          <cell r="C65">
            <v>2442.2974639345903</v>
          </cell>
        </row>
        <row r="66">
          <cell r="B66">
            <v>530</v>
          </cell>
          <cell r="C66">
            <v>1847.8018795702126</v>
          </cell>
        </row>
        <row r="67">
          <cell r="B67">
            <v>540</v>
          </cell>
          <cell r="C67">
            <v>2579.5084210577552</v>
          </cell>
        </row>
        <row r="68">
          <cell r="B68">
            <v>550</v>
          </cell>
          <cell r="C68">
            <v>2308.8916725197719</v>
          </cell>
        </row>
        <row r="69">
          <cell r="B69">
            <v>560</v>
          </cell>
          <cell r="C69">
            <v>2747.6978933168325</v>
          </cell>
        </row>
        <row r="70">
          <cell r="B70">
            <v>570</v>
          </cell>
          <cell r="C70">
            <v>1193.0368252998069</v>
          </cell>
        </row>
        <row r="71">
          <cell r="B71">
            <v>580</v>
          </cell>
          <cell r="C71">
            <v>2500.7500712508458</v>
          </cell>
        </row>
        <row r="72">
          <cell r="B72">
            <v>590</v>
          </cell>
          <cell r="C72">
            <v>2221.881870556168</v>
          </cell>
        </row>
        <row r="73">
          <cell r="B73">
            <v>600</v>
          </cell>
          <cell r="C73">
            <v>2147.8783830950811</v>
          </cell>
        </row>
        <row r="74">
          <cell r="B74">
            <v>610</v>
          </cell>
          <cell r="C74">
            <v>2337.9091059575953</v>
          </cell>
        </row>
        <row r="75">
          <cell r="B75">
            <v>620</v>
          </cell>
          <cell r="C75">
            <v>2022.9607830979526</v>
          </cell>
        </row>
        <row r="76">
          <cell r="B76">
            <v>630</v>
          </cell>
          <cell r="C76">
            <v>2697.3952031504018</v>
          </cell>
        </row>
        <row r="77">
          <cell r="B77">
            <v>640</v>
          </cell>
          <cell r="C77">
            <v>2111.3637411829836</v>
          </cell>
        </row>
        <row r="78">
          <cell r="B78">
            <v>650</v>
          </cell>
          <cell r="C78">
            <v>2205.1356292578394</v>
          </cell>
        </row>
        <row r="79">
          <cell r="B79">
            <v>660</v>
          </cell>
          <cell r="C79">
            <v>2204.3475222296383</v>
          </cell>
        </row>
        <row r="80">
          <cell r="B80">
            <v>670</v>
          </cell>
          <cell r="C80">
            <v>2311.1542260484889</v>
          </cell>
        </row>
        <row r="81">
          <cell r="B81">
            <v>680</v>
          </cell>
          <cell r="C81">
            <v>2148.2358146153783</v>
          </cell>
        </row>
        <row r="82">
          <cell r="B82">
            <v>690</v>
          </cell>
          <cell r="C82">
            <v>1977.0666188189614</v>
          </cell>
        </row>
        <row r="83">
          <cell r="B83">
            <v>700</v>
          </cell>
          <cell r="C83">
            <v>2237.2696235523904</v>
          </cell>
        </row>
        <row r="84">
          <cell r="B84">
            <v>710</v>
          </cell>
          <cell r="C84">
            <v>2229.9888965822888</v>
          </cell>
        </row>
        <row r="85">
          <cell r="B85">
            <v>720</v>
          </cell>
          <cell r="C85">
            <v>2420.0886756193809</v>
          </cell>
        </row>
        <row r="86">
          <cell r="B86">
            <v>730</v>
          </cell>
          <cell r="C86">
            <v>2527.947572167559</v>
          </cell>
        </row>
        <row r="87">
          <cell r="B87">
            <v>740</v>
          </cell>
          <cell r="C87">
            <v>2240.2504739646965</v>
          </cell>
        </row>
        <row r="88">
          <cell r="B88">
            <v>750</v>
          </cell>
          <cell r="C88">
            <v>1916.4044203556086</v>
          </cell>
        </row>
        <row r="89">
          <cell r="B89">
            <v>760</v>
          </cell>
          <cell r="C89">
            <v>2081.5326974983905</v>
          </cell>
        </row>
        <row r="90">
          <cell r="B90">
            <v>770</v>
          </cell>
          <cell r="C90">
            <v>3002.3330618701088</v>
          </cell>
        </row>
        <row r="91">
          <cell r="B91">
            <v>780</v>
          </cell>
          <cell r="C91">
            <v>2376.8907989984327</v>
          </cell>
        </row>
        <row r="92">
          <cell r="B92">
            <v>790</v>
          </cell>
          <cell r="C92">
            <v>2645.3015556703185</v>
          </cell>
        </row>
        <row r="93">
          <cell r="B93">
            <v>800</v>
          </cell>
          <cell r="C93">
            <v>3033.4928307684368</v>
          </cell>
        </row>
        <row r="94">
          <cell r="B94">
            <v>810</v>
          </cell>
          <cell r="C94">
            <v>2982.7016466966102</v>
          </cell>
        </row>
        <row r="95">
          <cell r="B95">
            <v>820</v>
          </cell>
          <cell r="C95">
            <v>3045.2312636600082</v>
          </cell>
        </row>
        <row r="96">
          <cell r="B96">
            <v>830</v>
          </cell>
          <cell r="C96">
            <v>2245.5518454675439</v>
          </cell>
        </row>
        <row r="97">
          <cell r="B97">
            <v>840</v>
          </cell>
          <cell r="C97">
            <v>2110.7743067534539</v>
          </cell>
        </row>
        <row r="98">
          <cell r="B98">
            <v>850</v>
          </cell>
          <cell r="C98">
            <v>2632.9050782388331</v>
          </cell>
        </row>
        <row r="99">
          <cell r="B99">
            <v>860</v>
          </cell>
          <cell r="C99">
            <v>2465.1179590200081</v>
          </cell>
        </row>
        <row r="100">
          <cell r="B100">
            <v>870</v>
          </cell>
          <cell r="C100">
            <v>2899.5921524933742</v>
          </cell>
        </row>
        <row r="101">
          <cell r="B101">
            <v>880</v>
          </cell>
          <cell r="C101">
            <v>2192.1097859622155</v>
          </cell>
        </row>
        <row r="102">
          <cell r="B102">
            <v>890</v>
          </cell>
          <cell r="C102">
            <v>2431.3520641281393</v>
          </cell>
        </row>
        <row r="103">
          <cell r="B103">
            <v>900</v>
          </cell>
          <cell r="C103">
            <v>2621.884204083874</v>
          </cell>
        </row>
        <row r="104">
          <cell r="B104">
            <v>910</v>
          </cell>
          <cell r="C104">
            <v>2383.9962350184469</v>
          </cell>
        </row>
        <row r="105">
          <cell r="B105">
            <v>920</v>
          </cell>
          <cell r="C105">
            <v>2276.3147213267985</v>
          </cell>
        </row>
        <row r="106">
          <cell r="B106">
            <v>930</v>
          </cell>
          <cell r="C106">
            <v>3613.2271633270516</v>
          </cell>
        </row>
        <row r="107">
          <cell r="B107">
            <v>940</v>
          </cell>
          <cell r="C107">
            <v>2758.8245296184828</v>
          </cell>
        </row>
        <row r="108">
          <cell r="B108">
            <v>950</v>
          </cell>
          <cell r="C108">
            <v>3057.0589223407687</v>
          </cell>
        </row>
        <row r="109">
          <cell r="B109">
            <v>960</v>
          </cell>
          <cell r="C109">
            <v>2625.3610021158188</v>
          </cell>
        </row>
        <row r="110">
          <cell r="B110">
            <v>970</v>
          </cell>
          <cell r="C110">
            <v>2695.555168510065</v>
          </cell>
        </row>
        <row r="111">
          <cell r="B111">
            <v>980</v>
          </cell>
          <cell r="C111">
            <v>3332.2454947633037</v>
          </cell>
        </row>
        <row r="112">
          <cell r="B112">
            <v>990</v>
          </cell>
          <cell r="C112">
            <v>2006.3811889416306</v>
          </cell>
        </row>
        <row r="113">
          <cell r="B113">
            <v>1000</v>
          </cell>
          <cell r="C113">
            <v>3420.621112229167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ru.onlinemschool.com/math/library/analytic_geometry/plane_angl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ru.onlinemschool.com/math/library/analytic_geometry/line/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hyperlink" Target="https://vk.com/excel2ru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https://math.stackexchange.com/questions/180418/calculate-rotation-matrix-to-align-vector-a-to-vector-b-in-3d/897677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ru.onlinemschool.com/math/library/analytic_geometry/plane_angl/" TargetMode="External"/><Relationship Id="rId7" Type="http://schemas.openxmlformats.org/officeDocument/2006/relationships/drawing" Target="../drawings/drawing3.xml"/><Relationship Id="rId12" Type="http://schemas.openxmlformats.org/officeDocument/2006/relationships/comments" Target="../comments2.xml"/><Relationship Id="rId2" Type="http://schemas.openxmlformats.org/officeDocument/2006/relationships/hyperlink" Target="http://ru.onlinemschool.com/math/library/analytic_geometry/line/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printerSettings" Target="../printerSettings/printerSettings3.bin"/><Relationship Id="rId11" Type="http://schemas.openxmlformats.org/officeDocument/2006/relationships/ctrlProp" Target="../ctrlProps/ctrlProp4.xml"/><Relationship Id="rId5" Type="http://schemas.openxmlformats.org/officeDocument/2006/relationships/hyperlink" Target="https://vk.com/excel2ru" TargetMode="External"/><Relationship Id="rId10" Type="http://schemas.openxmlformats.org/officeDocument/2006/relationships/ctrlProp" Target="../ctrlProps/ctrlProp3.xml"/><Relationship Id="rId4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9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ispolzovanie-paketa-analiza-ms-excel-dlya-postroeniya-mnozhestvennoy-lineynoy-regressionnoy-modeli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ozhestven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Normal="100" workbookViewId="0">
      <selection activeCell="Q2" sqref="Q2"/>
    </sheetView>
  </sheetViews>
  <sheetFormatPr defaultRowHeight="12.75" x14ac:dyDescent="0.2"/>
  <cols>
    <col min="1" max="1" width="16" style="4" customWidth="1"/>
    <col min="2" max="2" width="15.85546875" style="4" customWidth="1"/>
    <col min="3" max="3" width="16" style="4" bestFit="1" customWidth="1"/>
    <col min="4" max="4" width="15.140625" style="4" bestFit="1" customWidth="1"/>
    <col min="5" max="5" width="3.7109375" style="4" customWidth="1"/>
    <col min="6" max="7" width="10" style="4" bestFit="1" customWidth="1"/>
    <col min="8" max="8" width="2.7109375" style="4" customWidth="1"/>
    <col min="9" max="9" width="13.85546875" style="4" customWidth="1"/>
    <col min="10" max="10" width="10" style="4" bestFit="1" customWidth="1"/>
    <col min="11" max="20" width="9.140625" style="4"/>
    <col min="21" max="21" width="9.85546875" style="4" customWidth="1"/>
    <col min="22" max="230" width="9.140625" style="4"/>
    <col min="231" max="231" width="10" style="4" customWidth="1"/>
    <col min="232" max="16384" width="9.140625" style="4"/>
  </cols>
  <sheetData>
    <row r="1" spans="1:17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1" t="s">
        <v>272</v>
      </c>
    </row>
    <row r="3" spans="1:17" ht="18.75" x14ac:dyDescent="0.2">
      <c r="A3" s="1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9" t="s">
        <v>191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x14ac:dyDescent="0.2">
      <c r="B6" s="5" t="str">
        <f>B19</f>
        <v>X1 (Концентрация)</v>
      </c>
      <c r="C6" s="5" t="str">
        <f>C19</f>
        <v>X2 (Температура)</v>
      </c>
      <c r="D6" s="5" t="str">
        <f>D19</f>
        <v>Y (Прочность)</v>
      </c>
    </row>
    <row r="7" spans="1:17" x14ac:dyDescent="0.2">
      <c r="A7" s="5" t="s">
        <v>75</v>
      </c>
      <c r="B7" s="6">
        <f>MIN(B20:B50)</f>
        <v>2400</v>
      </c>
      <c r="C7" s="6">
        <f>MIN(C20:C50)</f>
        <v>43</v>
      </c>
      <c r="D7" s="6">
        <f>MIN(D20:D50)</f>
        <v>8.5</v>
      </c>
    </row>
    <row r="8" spans="1:17" x14ac:dyDescent="0.2">
      <c r="A8" s="5" t="s">
        <v>76</v>
      </c>
      <c r="B8" s="6">
        <f>MAX(B20:B50)</f>
        <v>3900</v>
      </c>
      <c r="C8" s="6">
        <f>MAX(C20:C50)</f>
        <v>69</v>
      </c>
      <c r="D8" s="6">
        <f>MAX(D20:D50)</f>
        <v>65</v>
      </c>
      <c r="E8" s="41"/>
    </row>
    <row r="9" spans="1:17" x14ac:dyDescent="0.2">
      <c r="A9" s="13" t="s">
        <v>188</v>
      </c>
      <c r="B9" s="45">
        <f>AVERAGE(B20:B50)</f>
        <v>2991.1290322580644</v>
      </c>
      <c r="C9" s="45">
        <f>AVERAGE(C20:C50)</f>
        <v>58.467741935483872</v>
      </c>
      <c r="D9" s="45">
        <f>AVERAGE(D20:D50)</f>
        <v>40.983870967741936</v>
      </c>
      <c r="E9" s="41"/>
    </row>
    <row r="10" spans="1:17" x14ac:dyDescent="0.2">
      <c r="A10" s="139"/>
      <c r="B10" s="41"/>
      <c r="C10" s="41"/>
      <c r="D10" s="38"/>
      <c r="E10" s="41"/>
      <c r="I10" s="104" t="str">
        <f>"Регрессионная модель: Y="&amp;ROUND(D17,3)&amp;IF(SIGN(B17)=-1,"-","+")&amp;ROUND(ABS(B17),3)&amp;"*Х1"&amp;IF(SIGN(C17)=-1,"-","+")&amp;ROUND(ABS(C17),3)&amp;"*Х2"</f>
        <v>Регрессионная модель: Y=48,632-0,032*Х1+1,486*Х2</v>
      </c>
    </row>
    <row r="11" spans="1:17" x14ac:dyDescent="0.2">
      <c r="A11" s="4" t="s">
        <v>90</v>
      </c>
      <c r="E11" s="41"/>
    </row>
    <row r="12" spans="1:17" x14ac:dyDescent="0.2">
      <c r="B12" s="94" t="s">
        <v>81</v>
      </c>
      <c r="C12" s="94" t="s">
        <v>80</v>
      </c>
      <c r="D12" s="95" t="s">
        <v>79</v>
      </c>
      <c r="J12" s="94" t="s">
        <v>80</v>
      </c>
      <c r="K12" s="94" t="s">
        <v>81</v>
      </c>
      <c r="L12" s="95" t="s">
        <v>79</v>
      </c>
    </row>
    <row r="13" spans="1:17" ht="25.5" x14ac:dyDescent="0.2">
      <c r="A13" s="13" t="s">
        <v>72</v>
      </c>
      <c r="B13" s="14">
        <f t="array" ref="B13:D13">LINEST(D20:D50,B20:C50)</f>
        <v>1.486496440822243</v>
      </c>
      <c r="C13" s="14">
        <v>-3.161350680567377E-2</v>
      </c>
      <c r="D13" s="14">
        <v>48.631858695670488</v>
      </c>
      <c r="I13" s="13" t="s">
        <v>72</v>
      </c>
      <c r="J13" s="14">
        <f>(N51*P51-O51*Q51)/(M51*N51-O51*O51)</f>
        <v>-3.1613506805673777E-2</v>
      </c>
      <c r="K13" s="14">
        <f>(M51*Q51-O51*P51)/(M51*N51-O51*O51)</f>
        <v>1.4864964408222432</v>
      </c>
      <c r="L13" s="14">
        <f>D9-J13*B9-K13*C9</f>
        <v>48.631858695670502</v>
      </c>
    </row>
    <row r="14" spans="1:17" x14ac:dyDescent="0.2">
      <c r="A14" s="139"/>
      <c r="B14" s="39"/>
      <c r="C14" s="39"/>
      <c r="D14" s="39"/>
      <c r="I14" s="4" t="s">
        <v>190</v>
      </c>
      <c r="J14" s="4" t="b">
        <f>J13=B17</f>
        <v>1</v>
      </c>
      <c r="K14" s="4" t="b">
        <f>K13=C17</f>
        <v>1</v>
      </c>
      <c r="L14" s="4" t="b">
        <f>L13=D17</f>
        <v>1</v>
      </c>
    </row>
    <row r="15" spans="1:17" x14ac:dyDescent="0.2">
      <c r="A15" s="8" t="s">
        <v>176</v>
      </c>
      <c r="B15" s="41"/>
      <c r="C15" s="41"/>
      <c r="D15" s="39"/>
    </row>
    <row r="16" spans="1:17" x14ac:dyDescent="0.2">
      <c r="B16" s="94" t="s">
        <v>80</v>
      </c>
      <c r="C16" s="94" t="s">
        <v>81</v>
      </c>
      <c r="D16" s="95" t="s">
        <v>79</v>
      </c>
    </row>
    <row r="17" spans="1:17" ht="38.25" x14ac:dyDescent="0.2">
      <c r="A17" s="13" t="s">
        <v>216</v>
      </c>
      <c r="B17" s="14">
        <f>C13</f>
        <v>-3.161350680567377E-2</v>
      </c>
      <c r="C17" s="14">
        <f>B13</f>
        <v>1.486496440822243</v>
      </c>
      <c r="D17" s="14">
        <f>D13</f>
        <v>48.631858695670488</v>
      </c>
    </row>
    <row r="18" spans="1:17" x14ac:dyDescent="0.2">
      <c r="F18" s="103" t="s">
        <v>177</v>
      </c>
      <c r="G18" s="103" t="s">
        <v>98</v>
      </c>
      <c r="I18" s="4" t="s">
        <v>189</v>
      </c>
      <c r="M18" s="4" t="s">
        <v>182</v>
      </c>
    </row>
    <row r="19" spans="1:17" x14ac:dyDescent="0.2">
      <c r="A19" s="89" t="s">
        <v>74</v>
      </c>
      <c r="B19" s="90" t="s">
        <v>89</v>
      </c>
      <c r="C19" s="90" t="s">
        <v>68</v>
      </c>
      <c r="D19" s="90" t="s">
        <v>69</v>
      </c>
      <c r="F19" s="93" t="s">
        <v>70</v>
      </c>
      <c r="G19" s="93" t="s">
        <v>71</v>
      </c>
      <c r="I19" s="90" t="s">
        <v>89</v>
      </c>
      <c r="J19" s="90" t="s">
        <v>68</v>
      </c>
      <c r="K19" s="90" t="s">
        <v>69</v>
      </c>
      <c r="M19" s="6" t="s">
        <v>183</v>
      </c>
      <c r="N19" s="6" t="s">
        <v>184</v>
      </c>
      <c r="O19" s="6" t="s">
        <v>187</v>
      </c>
      <c r="P19" s="6" t="s">
        <v>185</v>
      </c>
      <c r="Q19" s="6" t="s">
        <v>186</v>
      </c>
    </row>
    <row r="20" spans="1:17" x14ac:dyDescent="0.2">
      <c r="A20" s="6">
        <v>1</v>
      </c>
      <c r="B20" s="92">
        <v>2400</v>
      </c>
      <c r="C20" s="92">
        <v>54.5</v>
      </c>
      <c r="D20" s="91">
        <v>60</v>
      </c>
      <c r="F20" s="14">
        <f t="shared" ref="F20:F50" si="0">$B$17*B20+$C$17*C20+$D$17</f>
        <v>53.773498386865683</v>
      </c>
      <c r="G20" s="14">
        <f t="shared" ref="G20:G50" si="1">TREND($D$20:$D$50,$B$20:$C$50,B20:C20)</f>
        <v>53.773498386865683</v>
      </c>
      <c r="I20" s="30">
        <f>B20-B$9</f>
        <v>-591.1290322580644</v>
      </c>
      <c r="J20" s="30">
        <f>C20-C$9</f>
        <v>-3.9677419354838719</v>
      </c>
      <c r="K20" s="30">
        <f>D20-D$9</f>
        <v>19.016129032258064</v>
      </c>
      <c r="M20" s="6">
        <f>I20*I20</f>
        <v>349433.53277835576</v>
      </c>
      <c r="N20" s="6">
        <f>J20*J20</f>
        <v>15.742976066597302</v>
      </c>
      <c r="O20" s="6">
        <f>I20*J20</f>
        <v>2345.4474505723206</v>
      </c>
      <c r="P20" s="6">
        <f>I20*K20</f>
        <v>-11240.985952133193</v>
      </c>
      <c r="Q20" s="6">
        <f>J20*K20</f>
        <v>-75.451092611862663</v>
      </c>
    </row>
    <row r="21" spans="1:17" x14ac:dyDescent="0.2">
      <c r="A21" s="6">
        <v>2</v>
      </c>
      <c r="B21" s="92">
        <v>2450</v>
      </c>
      <c r="C21" s="92">
        <v>56</v>
      </c>
      <c r="D21" s="91">
        <v>61</v>
      </c>
      <c r="F21" s="14">
        <f t="shared" si="0"/>
        <v>54.422567707815347</v>
      </c>
      <c r="G21" s="14">
        <f t="shared" si="1"/>
        <v>54.422567707815347</v>
      </c>
      <c r="I21" s="30">
        <f t="shared" ref="I21:I50" si="2">B21-B$9</f>
        <v>-541.1290322580644</v>
      </c>
      <c r="J21" s="30">
        <f t="shared" ref="J21:J50" si="3">C21-C$9</f>
        <v>-2.4677419354838719</v>
      </c>
      <c r="K21" s="30">
        <f t="shared" ref="K21:K50" si="4">D21-D$9</f>
        <v>20.016129032258064</v>
      </c>
      <c r="M21" s="6">
        <f t="shared" ref="M21:M50" si="5">I21*I21</f>
        <v>292820.62955254928</v>
      </c>
      <c r="N21" s="6">
        <f t="shared" ref="N21:N50" si="6">J21*J21</f>
        <v>6.0897502601456859</v>
      </c>
      <c r="O21" s="6">
        <f t="shared" ref="O21:O50" si="7">I21*J21</f>
        <v>1335.3668054110303</v>
      </c>
      <c r="P21" s="6">
        <f t="shared" ref="P21:P50" si="8">I21*K21</f>
        <v>-10831.308532778354</v>
      </c>
      <c r="Q21" s="6">
        <f t="shared" ref="Q21:Q50" si="9">J21*K21</f>
        <v>-49.394640998959431</v>
      </c>
    </row>
    <row r="22" spans="1:17" x14ac:dyDescent="0.2">
      <c r="A22" s="6">
        <v>3</v>
      </c>
      <c r="B22" s="92">
        <v>2450</v>
      </c>
      <c r="C22" s="92">
        <v>58.5</v>
      </c>
      <c r="D22" s="91">
        <v>65</v>
      </c>
      <c r="F22" s="14">
        <f t="shared" si="0"/>
        <v>58.138808809870952</v>
      </c>
      <c r="G22" s="14">
        <f t="shared" si="1"/>
        <v>58.138808809870952</v>
      </c>
      <c r="I22" s="30">
        <f t="shared" si="2"/>
        <v>-541.1290322580644</v>
      </c>
      <c r="J22" s="30">
        <f t="shared" si="3"/>
        <v>3.2258064516128115E-2</v>
      </c>
      <c r="K22" s="30">
        <f t="shared" si="4"/>
        <v>24.016129032258064</v>
      </c>
      <c r="M22" s="6">
        <f t="shared" si="5"/>
        <v>292820.62955254928</v>
      </c>
      <c r="N22" s="6">
        <f t="shared" si="6"/>
        <v>1.0405827263266839E-3</v>
      </c>
      <c r="O22" s="6">
        <f t="shared" si="7"/>
        <v>-17.455775234130613</v>
      </c>
      <c r="P22" s="6">
        <f t="shared" si="8"/>
        <v>-12995.824661810611</v>
      </c>
      <c r="Q22" s="6">
        <f t="shared" si="9"/>
        <v>0.77471383975023811</v>
      </c>
    </row>
    <row r="23" spans="1:17" x14ac:dyDescent="0.2">
      <c r="A23" s="6">
        <v>4</v>
      </c>
      <c r="B23" s="92">
        <v>2500</v>
      </c>
      <c r="C23" s="92">
        <v>43</v>
      </c>
      <c r="D23" s="91">
        <v>30.5</v>
      </c>
      <c r="F23" s="14">
        <f t="shared" si="0"/>
        <v>33.517438636842513</v>
      </c>
      <c r="G23" s="14">
        <f t="shared" si="1"/>
        <v>33.517438636842513</v>
      </c>
      <c r="I23" s="30">
        <f t="shared" si="2"/>
        <v>-491.1290322580644</v>
      </c>
      <c r="J23" s="30">
        <f t="shared" si="3"/>
        <v>-15.467741935483872</v>
      </c>
      <c r="K23" s="30">
        <f t="shared" si="4"/>
        <v>-10.483870967741936</v>
      </c>
      <c r="M23" s="6">
        <f t="shared" si="5"/>
        <v>241207.72632674285</v>
      </c>
      <c r="N23" s="6">
        <f t="shared" si="6"/>
        <v>239.25104058272635</v>
      </c>
      <c r="O23" s="6">
        <f t="shared" si="7"/>
        <v>7596.6571279916743</v>
      </c>
      <c r="P23" s="6">
        <f t="shared" si="8"/>
        <v>5148.9334027055138</v>
      </c>
      <c r="Q23" s="6">
        <f t="shared" si="9"/>
        <v>162.16181061394383</v>
      </c>
    </row>
    <row r="24" spans="1:17" x14ac:dyDescent="0.2">
      <c r="A24" s="6">
        <v>5</v>
      </c>
      <c r="B24" s="92">
        <v>2500</v>
      </c>
      <c r="C24" s="92">
        <v>58</v>
      </c>
      <c r="D24" s="91">
        <v>63.5</v>
      </c>
      <c r="F24" s="14">
        <f t="shared" si="0"/>
        <v>55.814885249176157</v>
      </c>
      <c r="G24" s="14">
        <f t="shared" si="1"/>
        <v>55.814885249176157</v>
      </c>
      <c r="I24" s="30">
        <f t="shared" si="2"/>
        <v>-491.1290322580644</v>
      </c>
      <c r="J24" s="30">
        <f t="shared" si="3"/>
        <v>-0.46774193548387188</v>
      </c>
      <c r="K24" s="30">
        <f t="shared" si="4"/>
        <v>22.516129032258064</v>
      </c>
      <c r="M24" s="6">
        <f t="shared" si="5"/>
        <v>241207.72632674285</v>
      </c>
      <c r="N24" s="6">
        <f t="shared" si="6"/>
        <v>0.21878251821019856</v>
      </c>
      <c r="O24" s="6">
        <f t="shared" si="7"/>
        <v>229.72164412070799</v>
      </c>
      <c r="P24" s="6">
        <f t="shared" si="8"/>
        <v>-11058.324661810611</v>
      </c>
      <c r="Q24" s="6">
        <f t="shared" si="9"/>
        <v>-10.531737773152987</v>
      </c>
    </row>
    <row r="25" spans="1:17" x14ac:dyDescent="0.2">
      <c r="A25" s="6">
        <v>6</v>
      </c>
      <c r="B25" s="92">
        <v>2500</v>
      </c>
      <c r="C25" s="92">
        <v>59</v>
      </c>
      <c r="D25" s="91">
        <v>65</v>
      </c>
      <c r="F25" s="14">
        <f t="shared" si="0"/>
        <v>57.301381689998408</v>
      </c>
      <c r="G25" s="14">
        <f t="shared" si="1"/>
        <v>57.301381689998408</v>
      </c>
      <c r="I25" s="30">
        <f t="shared" si="2"/>
        <v>-491.1290322580644</v>
      </c>
      <c r="J25" s="30">
        <f t="shared" si="3"/>
        <v>0.53225806451612812</v>
      </c>
      <c r="K25" s="30">
        <f t="shared" si="4"/>
        <v>24.016129032258064</v>
      </c>
      <c r="M25" s="6">
        <f t="shared" si="5"/>
        <v>241207.72632674285</v>
      </c>
      <c r="N25" s="6">
        <f t="shared" si="6"/>
        <v>0.28329864724245479</v>
      </c>
      <c r="O25" s="6">
        <f t="shared" si="7"/>
        <v>-261.40738813735641</v>
      </c>
      <c r="P25" s="6">
        <f t="shared" si="8"/>
        <v>-11795.018210197708</v>
      </c>
      <c r="Q25" s="6">
        <f t="shared" si="9"/>
        <v>12.78277835587927</v>
      </c>
    </row>
    <row r="26" spans="1:17" x14ac:dyDescent="0.2">
      <c r="A26" s="6">
        <v>7</v>
      </c>
      <c r="B26" s="92">
        <v>2700</v>
      </c>
      <c r="C26" s="92">
        <v>52.5</v>
      </c>
      <c r="D26" s="91">
        <v>44</v>
      </c>
      <c r="F26" s="14">
        <f t="shared" si="0"/>
        <v>41.316453463519068</v>
      </c>
      <c r="G26" s="14">
        <f t="shared" si="1"/>
        <v>41.316453463519068</v>
      </c>
      <c r="I26" s="30">
        <f t="shared" si="2"/>
        <v>-291.1290322580644</v>
      </c>
      <c r="J26" s="30">
        <f t="shared" si="3"/>
        <v>-5.9677419354838719</v>
      </c>
      <c r="K26" s="30">
        <f t="shared" si="4"/>
        <v>3.0161290322580641</v>
      </c>
      <c r="M26" s="6">
        <f t="shared" si="5"/>
        <v>84756.113423517105</v>
      </c>
      <c r="N26" s="6">
        <f t="shared" si="6"/>
        <v>35.613943808532788</v>
      </c>
      <c r="O26" s="6">
        <f t="shared" si="7"/>
        <v>1737.3829344432877</v>
      </c>
      <c r="P26" s="6">
        <f t="shared" si="8"/>
        <v>-878.08272632674255</v>
      </c>
      <c r="Q26" s="6">
        <f t="shared" si="9"/>
        <v>-17.999479708636837</v>
      </c>
    </row>
    <row r="27" spans="1:17" x14ac:dyDescent="0.2">
      <c r="A27" s="6">
        <v>8</v>
      </c>
      <c r="B27" s="92">
        <v>2700</v>
      </c>
      <c r="C27" s="92">
        <v>65.5</v>
      </c>
      <c r="D27" s="91">
        <v>52</v>
      </c>
      <c r="F27" s="14">
        <f t="shared" si="0"/>
        <v>60.640907194208225</v>
      </c>
      <c r="G27" s="14">
        <f t="shared" si="1"/>
        <v>60.640907194208225</v>
      </c>
      <c r="I27" s="30">
        <f t="shared" si="2"/>
        <v>-291.1290322580644</v>
      </c>
      <c r="J27" s="30">
        <f t="shared" si="3"/>
        <v>7.0322580645161281</v>
      </c>
      <c r="K27" s="30">
        <f t="shared" si="4"/>
        <v>11.016129032258064</v>
      </c>
      <c r="M27" s="6">
        <f t="shared" si="5"/>
        <v>84756.113423517105</v>
      </c>
      <c r="N27" s="6">
        <f t="shared" si="6"/>
        <v>49.452653485952119</v>
      </c>
      <c r="O27" s="6">
        <f t="shared" si="7"/>
        <v>-2047.2944849115495</v>
      </c>
      <c r="P27" s="6">
        <f t="shared" si="8"/>
        <v>-3207.1149843912576</v>
      </c>
      <c r="Q27" s="6">
        <f t="shared" si="9"/>
        <v>77.468262226847017</v>
      </c>
    </row>
    <row r="28" spans="1:17" x14ac:dyDescent="0.2">
      <c r="A28" s="6">
        <v>9</v>
      </c>
      <c r="B28" s="92">
        <v>2700</v>
      </c>
      <c r="C28" s="92">
        <v>68</v>
      </c>
      <c r="D28" s="91">
        <v>54.5</v>
      </c>
      <c r="F28" s="14">
        <f t="shared" si="0"/>
        <v>64.35714829626383</v>
      </c>
      <c r="G28" s="14">
        <f t="shared" si="1"/>
        <v>64.35714829626383</v>
      </c>
      <c r="I28" s="30">
        <f t="shared" si="2"/>
        <v>-291.1290322580644</v>
      </c>
      <c r="J28" s="30">
        <f t="shared" si="3"/>
        <v>9.5322580645161281</v>
      </c>
      <c r="K28" s="30">
        <f t="shared" si="4"/>
        <v>13.516129032258064</v>
      </c>
      <c r="M28" s="6">
        <f t="shared" si="5"/>
        <v>84756.113423517105</v>
      </c>
      <c r="N28" s="6">
        <f t="shared" si="6"/>
        <v>90.863943808532767</v>
      </c>
      <c r="O28" s="6">
        <f t="shared" si="7"/>
        <v>-2775.1170655567103</v>
      </c>
      <c r="P28" s="6">
        <f t="shared" si="8"/>
        <v>-3934.9375650364186</v>
      </c>
      <c r="Q28" s="6">
        <f t="shared" si="9"/>
        <v>128.83922996878249</v>
      </c>
    </row>
    <row r="29" spans="1:17" x14ac:dyDescent="0.2">
      <c r="A29" s="6">
        <v>10</v>
      </c>
      <c r="B29" s="92">
        <v>2750</v>
      </c>
      <c r="C29" s="92">
        <v>45</v>
      </c>
      <c r="D29" s="91">
        <v>30</v>
      </c>
      <c r="F29" s="14">
        <f t="shared" si="0"/>
        <v>28.587054817068548</v>
      </c>
      <c r="G29" s="14">
        <f t="shared" si="1"/>
        <v>28.587054817068548</v>
      </c>
      <c r="I29" s="30">
        <f t="shared" si="2"/>
        <v>-241.1290322580644</v>
      </c>
      <c r="J29" s="30">
        <f t="shared" si="3"/>
        <v>-13.467741935483872</v>
      </c>
      <c r="K29" s="30">
        <f t="shared" si="4"/>
        <v>-10.983870967741936</v>
      </c>
      <c r="M29" s="6">
        <f t="shared" si="5"/>
        <v>58143.210197710665</v>
      </c>
      <c r="N29" s="6">
        <f t="shared" si="6"/>
        <v>181.38007284079086</v>
      </c>
      <c r="O29" s="6">
        <f t="shared" si="7"/>
        <v>3247.4635796045773</v>
      </c>
      <c r="P29" s="6">
        <f t="shared" si="8"/>
        <v>2648.5301768990621</v>
      </c>
      <c r="Q29" s="6">
        <f t="shared" si="9"/>
        <v>147.92793964620188</v>
      </c>
    </row>
    <row r="30" spans="1:17" x14ac:dyDescent="0.2">
      <c r="A30" s="6">
        <v>11</v>
      </c>
      <c r="B30" s="92">
        <v>2775</v>
      </c>
      <c r="C30" s="92">
        <v>45.5</v>
      </c>
      <c r="D30" s="91">
        <v>26</v>
      </c>
      <c r="F30" s="14">
        <f t="shared" si="0"/>
        <v>28.539965367337828</v>
      </c>
      <c r="G30" s="14">
        <f t="shared" si="1"/>
        <v>28.539965367337828</v>
      </c>
      <c r="I30" s="30">
        <f t="shared" si="2"/>
        <v>-216.1290322580644</v>
      </c>
      <c r="J30" s="30">
        <f t="shared" si="3"/>
        <v>-12.967741935483872</v>
      </c>
      <c r="K30" s="30">
        <f t="shared" si="4"/>
        <v>-14.983870967741936</v>
      </c>
      <c r="M30" s="6">
        <f t="shared" si="5"/>
        <v>46711.758584807445</v>
      </c>
      <c r="N30" s="6">
        <f t="shared" si="6"/>
        <v>168.16233090530699</v>
      </c>
      <c r="O30" s="6">
        <f t="shared" si="7"/>
        <v>2802.705515088448</v>
      </c>
      <c r="P30" s="6">
        <f t="shared" si="8"/>
        <v>3238.4495317377714</v>
      </c>
      <c r="Q30" s="6">
        <f t="shared" si="9"/>
        <v>194.30697190426642</v>
      </c>
    </row>
    <row r="31" spans="1:17" x14ac:dyDescent="0.2">
      <c r="A31" s="6">
        <v>12</v>
      </c>
      <c r="B31" s="92">
        <v>2800</v>
      </c>
      <c r="C31" s="92">
        <v>48</v>
      </c>
      <c r="D31" s="91">
        <v>23</v>
      </c>
      <c r="F31" s="14">
        <f t="shared" si="0"/>
        <v>31.465868799251581</v>
      </c>
      <c r="G31" s="14">
        <f t="shared" si="1"/>
        <v>31.465868799251581</v>
      </c>
      <c r="I31" s="30">
        <f t="shared" si="2"/>
        <v>-191.1290322580644</v>
      </c>
      <c r="J31" s="30">
        <f t="shared" si="3"/>
        <v>-10.467741935483872</v>
      </c>
      <c r="K31" s="30">
        <f t="shared" si="4"/>
        <v>-17.983870967741936</v>
      </c>
      <c r="M31" s="6">
        <f t="shared" si="5"/>
        <v>36530.306971904225</v>
      </c>
      <c r="N31" s="6">
        <f t="shared" si="6"/>
        <v>109.57362122788764</v>
      </c>
      <c r="O31" s="6">
        <f t="shared" si="7"/>
        <v>2000.6893860561904</v>
      </c>
      <c r="P31" s="6">
        <f t="shared" si="8"/>
        <v>3437.2398543184163</v>
      </c>
      <c r="Q31" s="6">
        <f t="shared" si="9"/>
        <v>188.25052029136319</v>
      </c>
    </row>
    <row r="32" spans="1:17" x14ac:dyDescent="0.2">
      <c r="A32" s="6">
        <v>13</v>
      </c>
      <c r="B32" s="92">
        <v>2800</v>
      </c>
      <c r="C32" s="92">
        <v>63</v>
      </c>
      <c r="D32" s="91">
        <v>54</v>
      </c>
      <c r="F32" s="14">
        <f t="shared" si="0"/>
        <v>53.763315411585239</v>
      </c>
      <c r="G32" s="14">
        <f t="shared" si="1"/>
        <v>53.763315411585239</v>
      </c>
      <c r="I32" s="30">
        <f t="shared" si="2"/>
        <v>-191.1290322580644</v>
      </c>
      <c r="J32" s="30">
        <f t="shared" si="3"/>
        <v>4.5322580645161281</v>
      </c>
      <c r="K32" s="30">
        <f t="shared" si="4"/>
        <v>13.016129032258064</v>
      </c>
      <c r="M32" s="6">
        <f t="shared" si="5"/>
        <v>36530.306971904225</v>
      </c>
      <c r="N32" s="6">
        <f t="shared" si="6"/>
        <v>20.541363163371479</v>
      </c>
      <c r="O32" s="6">
        <f t="shared" si="7"/>
        <v>-866.24609781477557</v>
      </c>
      <c r="P32" s="6">
        <f t="shared" si="8"/>
        <v>-2487.7601456815801</v>
      </c>
      <c r="Q32" s="6">
        <f t="shared" si="9"/>
        <v>58.99245577523412</v>
      </c>
    </row>
    <row r="33" spans="1:17" x14ac:dyDescent="0.2">
      <c r="A33" s="6">
        <v>14</v>
      </c>
      <c r="B33" s="92">
        <v>2900</v>
      </c>
      <c r="C33" s="92">
        <v>58.5</v>
      </c>
      <c r="D33" s="91">
        <v>36</v>
      </c>
      <c r="F33" s="14">
        <f t="shared" si="0"/>
        <v>43.912730747317767</v>
      </c>
      <c r="G33" s="14">
        <f t="shared" si="1"/>
        <v>43.912730747317767</v>
      </c>
      <c r="I33" s="30">
        <f t="shared" si="2"/>
        <v>-91.129032258064399</v>
      </c>
      <c r="J33" s="30">
        <f t="shared" si="3"/>
        <v>3.2258064516128115E-2</v>
      </c>
      <c r="K33" s="30">
        <f t="shared" si="4"/>
        <v>-4.9838709677419359</v>
      </c>
      <c r="M33" s="6">
        <f t="shared" si="5"/>
        <v>8304.5005202913417</v>
      </c>
      <c r="N33" s="6">
        <f t="shared" si="6"/>
        <v>1.0405827263266839E-3</v>
      </c>
      <c r="O33" s="6">
        <f t="shared" si="7"/>
        <v>-2.9396462018729617</v>
      </c>
      <c r="P33" s="6">
        <f t="shared" si="8"/>
        <v>454.17533818938551</v>
      </c>
      <c r="Q33" s="6">
        <f t="shared" si="9"/>
        <v>-0.16077003121747724</v>
      </c>
    </row>
    <row r="34" spans="1:17" x14ac:dyDescent="0.2">
      <c r="A34" s="6">
        <v>15</v>
      </c>
      <c r="B34" s="92">
        <v>2900</v>
      </c>
      <c r="C34" s="92">
        <v>64.5</v>
      </c>
      <c r="D34" s="91">
        <v>53.5</v>
      </c>
      <c r="F34" s="14">
        <f t="shared" si="0"/>
        <v>52.831709392251227</v>
      </c>
      <c r="G34" s="14">
        <f t="shared" si="1"/>
        <v>52.831709392251227</v>
      </c>
      <c r="I34" s="30">
        <f t="shared" si="2"/>
        <v>-91.129032258064399</v>
      </c>
      <c r="J34" s="30">
        <f t="shared" si="3"/>
        <v>6.0322580645161281</v>
      </c>
      <c r="K34" s="30">
        <f t="shared" si="4"/>
        <v>12.516129032258064</v>
      </c>
      <c r="M34" s="6">
        <f t="shared" si="5"/>
        <v>8304.5005202913417</v>
      </c>
      <c r="N34" s="6">
        <f t="shared" si="6"/>
        <v>36.388137356919863</v>
      </c>
      <c r="O34" s="6">
        <f t="shared" si="7"/>
        <v>-549.71383975025935</v>
      </c>
      <c r="P34" s="6">
        <f t="shared" si="8"/>
        <v>-1140.5827263267415</v>
      </c>
      <c r="Q34" s="6">
        <f t="shared" si="9"/>
        <v>75.500520291363145</v>
      </c>
    </row>
    <row r="35" spans="1:17" x14ac:dyDescent="0.2">
      <c r="A35" s="6">
        <v>16</v>
      </c>
      <c r="B35" s="92">
        <v>3000</v>
      </c>
      <c r="C35" s="92">
        <v>66</v>
      </c>
      <c r="D35" s="91">
        <v>57</v>
      </c>
      <c r="F35" s="14">
        <f t="shared" si="0"/>
        <v>51.900103372917215</v>
      </c>
      <c r="G35" s="14">
        <f t="shared" si="1"/>
        <v>51.900103372917215</v>
      </c>
      <c r="I35" s="30">
        <f t="shared" si="2"/>
        <v>8.8709677419356012</v>
      </c>
      <c r="J35" s="30">
        <f t="shared" si="3"/>
        <v>7.5322580645161281</v>
      </c>
      <c r="K35" s="30">
        <f t="shared" si="4"/>
        <v>16.016129032258064</v>
      </c>
      <c r="M35" s="6">
        <f t="shared" si="5"/>
        <v>78.694068678462017</v>
      </c>
      <c r="N35" s="6">
        <f t="shared" si="6"/>
        <v>56.734911550468247</v>
      </c>
      <c r="O35" s="6">
        <f t="shared" si="7"/>
        <v>66.81841831425686</v>
      </c>
      <c r="P35" s="6">
        <f t="shared" si="8"/>
        <v>142.07856399583954</v>
      </c>
      <c r="Q35" s="6">
        <f t="shared" si="9"/>
        <v>120.6376170655567</v>
      </c>
    </row>
    <row r="36" spans="1:17" x14ac:dyDescent="0.2">
      <c r="A36" s="6">
        <v>17</v>
      </c>
      <c r="B36" s="92">
        <v>3075</v>
      </c>
      <c r="C36" s="92">
        <v>57</v>
      </c>
      <c r="D36" s="91">
        <v>33.5</v>
      </c>
      <c r="F36" s="14">
        <f t="shared" si="0"/>
        <v>36.150622395091503</v>
      </c>
      <c r="G36" s="14">
        <f t="shared" si="1"/>
        <v>36.150622395091503</v>
      </c>
      <c r="I36" s="30">
        <f t="shared" si="2"/>
        <v>83.870967741935601</v>
      </c>
      <c r="J36" s="30">
        <f t="shared" si="3"/>
        <v>-1.4677419354838719</v>
      </c>
      <c r="K36" s="30">
        <f t="shared" si="4"/>
        <v>-7.4838709677419359</v>
      </c>
      <c r="M36" s="6">
        <f t="shared" si="5"/>
        <v>7034.3392299688021</v>
      </c>
      <c r="N36" s="6">
        <f t="shared" si="6"/>
        <v>2.1542663891779426</v>
      </c>
      <c r="O36" s="6">
        <f t="shared" si="7"/>
        <v>-123.10093652445394</v>
      </c>
      <c r="P36" s="6">
        <f t="shared" si="8"/>
        <v>-627.67950052029232</v>
      </c>
      <c r="Q36" s="6">
        <f t="shared" si="9"/>
        <v>10.984391259105106</v>
      </c>
    </row>
    <row r="37" spans="1:17" x14ac:dyDescent="0.2">
      <c r="A37" s="6">
        <v>18</v>
      </c>
      <c r="B37" s="92">
        <v>3100</v>
      </c>
      <c r="C37" s="92">
        <v>57.5</v>
      </c>
      <c r="D37" s="91">
        <v>34</v>
      </c>
      <c r="F37" s="14">
        <f t="shared" si="0"/>
        <v>36.103532945360769</v>
      </c>
      <c r="G37" s="14">
        <f t="shared" si="1"/>
        <v>36.103532945360769</v>
      </c>
      <c r="I37" s="30">
        <f t="shared" si="2"/>
        <v>108.8709677419356</v>
      </c>
      <c r="J37" s="30">
        <f t="shared" si="3"/>
        <v>-0.96774193548387188</v>
      </c>
      <c r="K37" s="30">
        <f t="shared" si="4"/>
        <v>-6.9838709677419359</v>
      </c>
      <c r="M37" s="6">
        <f t="shared" si="5"/>
        <v>11852.887617065582</v>
      </c>
      <c r="N37" s="6">
        <f t="shared" si="6"/>
        <v>0.93652445369407045</v>
      </c>
      <c r="O37" s="6">
        <f t="shared" si="7"/>
        <v>-105.35900104058294</v>
      </c>
      <c r="P37" s="6">
        <f t="shared" si="8"/>
        <v>-760.34079084287293</v>
      </c>
      <c r="Q37" s="6">
        <f t="shared" si="9"/>
        <v>6.7585848074922028</v>
      </c>
    </row>
    <row r="38" spans="1:17" x14ac:dyDescent="0.2">
      <c r="A38" s="6">
        <v>19</v>
      </c>
      <c r="B38" s="92">
        <v>3150</v>
      </c>
      <c r="C38" s="92">
        <v>64</v>
      </c>
      <c r="D38" s="91">
        <v>44</v>
      </c>
      <c r="F38" s="14">
        <f t="shared" si="0"/>
        <v>44.185084470421657</v>
      </c>
      <c r="G38" s="14">
        <f t="shared" si="1"/>
        <v>44.185084470421657</v>
      </c>
      <c r="I38" s="30">
        <f t="shared" si="2"/>
        <v>158.8709677419356</v>
      </c>
      <c r="J38" s="30">
        <f t="shared" si="3"/>
        <v>5.5322580645161281</v>
      </c>
      <c r="K38" s="30">
        <f t="shared" si="4"/>
        <v>3.0161290322580641</v>
      </c>
      <c r="M38" s="6">
        <f t="shared" si="5"/>
        <v>25239.984391259142</v>
      </c>
      <c r="N38" s="6">
        <f t="shared" si="6"/>
        <v>30.605879292403735</v>
      </c>
      <c r="O38" s="6">
        <f t="shared" si="7"/>
        <v>878.91519250780482</v>
      </c>
      <c r="P38" s="6">
        <f t="shared" si="8"/>
        <v>479.17533818938631</v>
      </c>
      <c r="Q38" s="6">
        <f t="shared" si="9"/>
        <v>16.686004162330899</v>
      </c>
    </row>
    <row r="39" spans="1:17" x14ac:dyDescent="0.2">
      <c r="A39" s="6">
        <v>20</v>
      </c>
      <c r="B39" s="92">
        <v>3200</v>
      </c>
      <c r="C39" s="92">
        <v>57</v>
      </c>
      <c r="D39" s="91">
        <v>33</v>
      </c>
      <c r="F39" s="14">
        <f t="shared" si="0"/>
        <v>32.19893404438227</v>
      </c>
      <c r="G39" s="14">
        <f t="shared" si="1"/>
        <v>32.19893404438227</v>
      </c>
      <c r="I39" s="30">
        <f t="shared" si="2"/>
        <v>208.8709677419356</v>
      </c>
      <c r="J39" s="30">
        <f t="shared" si="3"/>
        <v>-1.4677419354838719</v>
      </c>
      <c r="K39" s="30">
        <f t="shared" si="4"/>
        <v>-7.9838709677419359</v>
      </c>
      <c r="M39" s="6">
        <f t="shared" si="5"/>
        <v>43627.081165452706</v>
      </c>
      <c r="N39" s="6">
        <f t="shared" si="6"/>
        <v>2.1542663891779426</v>
      </c>
      <c r="O39" s="6">
        <f t="shared" si="7"/>
        <v>-306.56867845993793</v>
      </c>
      <c r="P39" s="6">
        <f t="shared" si="8"/>
        <v>-1667.5988553590021</v>
      </c>
      <c r="Q39" s="6">
        <f t="shared" si="9"/>
        <v>11.718262226847042</v>
      </c>
    </row>
    <row r="40" spans="1:17" x14ac:dyDescent="0.2">
      <c r="A40" s="6">
        <v>21</v>
      </c>
      <c r="B40" s="92">
        <v>3200</v>
      </c>
      <c r="C40" s="92">
        <v>64</v>
      </c>
      <c r="D40" s="91">
        <v>39</v>
      </c>
      <c r="F40" s="14">
        <f t="shared" si="0"/>
        <v>42.604409130137967</v>
      </c>
      <c r="G40" s="14">
        <f t="shared" si="1"/>
        <v>42.604409130137967</v>
      </c>
      <c r="I40" s="30">
        <f t="shared" si="2"/>
        <v>208.8709677419356</v>
      </c>
      <c r="J40" s="30">
        <f t="shared" si="3"/>
        <v>5.5322580645161281</v>
      </c>
      <c r="K40" s="30">
        <f t="shared" si="4"/>
        <v>-1.9838709677419359</v>
      </c>
      <c r="M40" s="6">
        <f t="shared" si="5"/>
        <v>43627.081165452706</v>
      </c>
      <c r="N40" s="6">
        <f t="shared" si="6"/>
        <v>30.605879292403735</v>
      </c>
      <c r="O40" s="6">
        <f t="shared" si="7"/>
        <v>1155.5280957336113</v>
      </c>
      <c r="P40" s="6">
        <f t="shared" si="8"/>
        <v>-414.37304890738847</v>
      </c>
      <c r="Q40" s="6">
        <f t="shared" si="9"/>
        <v>-10.975286160249741</v>
      </c>
    </row>
    <row r="41" spans="1:17" x14ac:dyDescent="0.2">
      <c r="A41" s="6">
        <v>22</v>
      </c>
      <c r="B41" s="92">
        <v>3200</v>
      </c>
      <c r="C41" s="92">
        <v>69</v>
      </c>
      <c r="D41" s="91">
        <v>53</v>
      </c>
      <c r="F41" s="14">
        <f t="shared" si="0"/>
        <v>50.036891334249177</v>
      </c>
      <c r="G41" s="14">
        <f t="shared" si="1"/>
        <v>50.036891334249177</v>
      </c>
      <c r="I41" s="30">
        <f t="shared" si="2"/>
        <v>208.8709677419356</v>
      </c>
      <c r="J41" s="30">
        <f t="shared" si="3"/>
        <v>10.532258064516128</v>
      </c>
      <c r="K41" s="30">
        <f t="shared" si="4"/>
        <v>12.016129032258064</v>
      </c>
      <c r="M41" s="6">
        <f t="shared" si="5"/>
        <v>43627.081165452706</v>
      </c>
      <c r="N41" s="6">
        <f t="shared" si="6"/>
        <v>110.92845993756502</v>
      </c>
      <c r="O41" s="6">
        <f t="shared" si="7"/>
        <v>2199.8829344432893</v>
      </c>
      <c r="P41" s="6">
        <f t="shared" si="8"/>
        <v>2509.8204994797097</v>
      </c>
      <c r="Q41" s="6">
        <f t="shared" si="9"/>
        <v>126.55697190426638</v>
      </c>
    </row>
    <row r="42" spans="1:17" x14ac:dyDescent="0.2">
      <c r="A42" s="6">
        <v>23</v>
      </c>
      <c r="B42" s="92">
        <v>3225</v>
      </c>
      <c r="C42" s="92">
        <v>68</v>
      </c>
      <c r="D42" s="91">
        <v>38.5</v>
      </c>
      <c r="F42" s="14">
        <f t="shared" si="0"/>
        <v>47.760057223285102</v>
      </c>
      <c r="G42" s="14">
        <f t="shared" si="1"/>
        <v>47.760057223285102</v>
      </c>
      <c r="I42" s="30">
        <f t="shared" si="2"/>
        <v>233.8709677419356</v>
      </c>
      <c r="J42" s="30">
        <f t="shared" si="3"/>
        <v>9.5322580645161281</v>
      </c>
      <c r="K42" s="30">
        <f t="shared" si="4"/>
        <v>-2.4838709677419359</v>
      </c>
      <c r="M42" s="6">
        <f t="shared" si="5"/>
        <v>54695.629552549486</v>
      </c>
      <c r="N42" s="6">
        <f t="shared" si="6"/>
        <v>90.863943808532767</v>
      </c>
      <c r="O42" s="6">
        <f t="shared" si="7"/>
        <v>2229.3184183142571</v>
      </c>
      <c r="P42" s="6">
        <f t="shared" si="8"/>
        <v>-580.90530697190468</v>
      </c>
      <c r="Q42" s="6">
        <f t="shared" si="9"/>
        <v>-23.676899063475549</v>
      </c>
    </row>
    <row r="43" spans="1:17" x14ac:dyDescent="0.2">
      <c r="A43" s="6">
        <v>24</v>
      </c>
      <c r="B43" s="92">
        <v>3250</v>
      </c>
      <c r="C43" s="92">
        <v>62</v>
      </c>
      <c r="D43" s="91">
        <v>39.5</v>
      </c>
      <c r="F43" s="14">
        <f t="shared" si="0"/>
        <v>38.050740908209804</v>
      </c>
      <c r="G43" s="14">
        <f t="shared" si="1"/>
        <v>38.050740908209804</v>
      </c>
      <c r="I43" s="30">
        <f t="shared" si="2"/>
        <v>258.8709677419356</v>
      </c>
      <c r="J43" s="30">
        <f t="shared" si="3"/>
        <v>3.5322580645161281</v>
      </c>
      <c r="K43" s="30">
        <f t="shared" si="4"/>
        <v>-1.4838709677419359</v>
      </c>
      <c r="M43" s="6">
        <f t="shared" si="5"/>
        <v>67014.177939646266</v>
      </c>
      <c r="N43" s="6">
        <f t="shared" si="6"/>
        <v>12.476847034339224</v>
      </c>
      <c r="O43" s="6">
        <f t="shared" si="7"/>
        <v>914.39906347554643</v>
      </c>
      <c r="P43" s="6">
        <f t="shared" si="8"/>
        <v>-384.13111342351749</v>
      </c>
      <c r="Q43" s="6">
        <f t="shared" si="9"/>
        <v>-5.2414151925078043</v>
      </c>
    </row>
    <row r="44" spans="1:17" x14ac:dyDescent="0.2">
      <c r="A44" s="6">
        <v>25</v>
      </c>
      <c r="B44" s="92">
        <v>3250</v>
      </c>
      <c r="C44" s="92">
        <v>64.5</v>
      </c>
      <c r="D44" s="91">
        <v>36</v>
      </c>
      <c r="F44" s="14">
        <f t="shared" si="0"/>
        <v>41.766982010265409</v>
      </c>
      <c r="G44" s="14">
        <f t="shared" si="1"/>
        <v>41.766982010265409</v>
      </c>
      <c r="I44" s="30">
        <f t="shared" si="2"/>
        <v>258.8709677419356</v>
      </c>
      <c r="J44" s="30">
        <f t="shared" si="3"/>
        <v>6.0322580645161281</v>
      </c>
      <c r="K44" s="30">
        <f t="shared" si="4"/>
        <v>-4.9838709677419359</v>
      </c>
      <c r="M44" s="6">
        <f t="shared" si="5"/>
        <v>67014.177939646266</v>
      </c>
      <c r="N44" s="6">
        <f t="shared" si="6"/>
        <v>36.388137356919863</v>
      </c>
      <c r="O44" s="6">
        <f t="shared" si="7"/>
        <v>1561.5764828303854</v>
      </c>
      <c r="P44" s="6">
        <f t="shared" si="8"/>
        <v>-1290.1795005202921</v>
      </c>
      <c r="Q44" s="6">
        <f t="shared" si="9"/>
        <v>-30.063995837669093</v>
      </c>
    </row>
    <row r="45" spans="1:17" x14ac:dyDescent="0.2">
      <c r="A45" s="6">
        <v>26</v>
      </c>
      <c r="B45" s="92">
        <v>3250</v>
      </c>
      <c r="C45" s="92">
        <v>48</v>
      </c>
      <c r="D45" s="91">
        <v>8.5</v>
      </c>
      <c r="F45" s="14">
        <f t="shared" si="0"/>
        <v>17.239790736698396</v>
      </c>
      <c r="G45" s="14">
        <f t="shared" si="1"/>
        <v>17.239790736698396</v>
      </c>
      <c r="I45" s="30">
        <f t="shared" si="2"/>
        <v>258.8709677419356</v>
      </c>
      <c r="J45" s="30">
        <f t="shared" si="3"/>
        <v>-10.467741935483872</v>
      </c>
      <c r="K45" s="30">
        <f t="shared" si="4"/>
        <v>-32.483870967741936</v>
      </c>
      <c r="M45" s="6">
        <f t="shared" si="5"/>
        <v>67014.177939646266</v>
      </c>
      <c r="N45" s="6">
        <f t="shared" si="6"/>
        <v>109.57362122788764</v>
      </c>
      <c r="O45" s="6">
        <f t="shared" si="7"/>
        <v>-2709.794484911552</v>
      </c>
      <c r="P45" s="6">
        <f t="shared" si="8"/>
        <v>-8409.1311134235202</v>
      </c>
      <c r="Q45" s="6">
        <f t="shared" si="9"/>
        <v>340.03277835587932</v>
      </c>
    </row>
    <row r="46" spans="1:17" x14ac:dyDescent="0.2">
      <c r="A46" s="6">
        <v>27</v>
      </c>
      <c r="B46" s="92">
        <v>3500</v>
      </c>
      <c r="C46" s="92">
        <v>60</v>
      </c>
      <c r="D46" s="91">
        <v>30</v>
      </c>
      <c r="F46" s="14">
        <f t="shared" si="0"/>
        <v>27.174371325146865</v>
      </c>
      <c r="G46" s="14">
        <f t="shared" si="1"/>
        <v>27.174371325146865</v>
      </c>
      <c r="I46" s="30">
        <f t="shared" si="2"/>
        <v>508.8709677419356</v>
      </c>
      <c r="J46" s="30">
        <f t="shared" si="3"/>
        <v>1.5322580645161281</v>
      </c>
      <c r="K46" s="30">
        <f t="shared" si="4"/>
        <v>-10.983870967741936</v>
      </c>
      <c r="M46" s="6">
        <f t="shared" si="5"/>
        <v>258949.66181061405</v>
      </c>
      <c r="N46" s="6">
        <f t="shared" si="6"/>
        <v>2.3478147762747112</v>
      </c>
      <c r="O46" s="6">
        <f t="shared" si="7"/>
        <v>779.72164412070731</v>
      </c>
      <c r="P46" s="6">
        <f t="shared" si="8"/>
        <v>-5589.3730489073896</v>
      </c>
      <c r="Q46" s="6">
        <f t="shared" si="9"/>
        <v>-16.83012486992715</v>
      </c>
    </row>
    <row r="47" spans="1:17" x14ac:dyDescent="0.2">
      <c r="A47" s="6">
        <v>28</v>
      </c>
      <c r="B47" s="92">
        <v>3500</v>
      </c>
      <c r="C47" s="92">
        <v>59</v>
      </c>
      <c r="D47" s="91">
        <v>29</v>
      </c>
      <c r="F47" s="14">
        <f t="shared" si="0"/>
        <v>25.687874884324629</v>
      </c>
      <c r="G47" s="14">
        <f t="shared" si="1"/>
        <v>25.687874884324629</v>
      </c>
      <c r="I47" s="30">
        <f t="shared" si="2"/>
        <v>508.8709677419356</v>
      </c>
      <c r="J47" s="30">
        <f t="shared" si="3"/>
        <v>0.53225806451612812</v>
      </c>
      <c r="K47" s="30">
        <f t="shared" si="4"/>
        <v>-11.983870967741936</v>
      </c>
      <c r="M47" s="6">
        <f t="shared" si="5"/>
        <v>258949.66181061405</v>
      </c>
      <c r="N47" s="6">
        <f t="shared" si="6"/>
        <v>0.28329864724245479</v>
      </c>
      <c r="O47" s="6">
        <f t="shared" si="7"/>
        <v>270.85067637877171</v>
      </c>
      <c r="P47" s="6">
        <f t="shared" si="8"/>
        <v>-6098.2440166493252</v>
      </c>
      <c r="Q47" s="6">
        <f t="shared" si="9"/>
        <v>-6.3785119667013417</v>
      </c>
    </row>
    <row r="48" spans="1:17" x14ac:dyDescent="0.2">
      <c r="A48" s="6">
        <v>29</v>
      </c>
      <c r="B48" s="92">
        <v>3500</v>
      </c>
      <c r="C48" s="92">
        <v>58</v>
      </c>
      <c r="D48" s="91">
        <v>26.5</v>
      </c>
      <c r="F48" s="14">
        <f t="shared" si="0"/>
        <v>24.201378443502378</v>
      </c>
      <c r="G48" s="14">
        <f t="shared" si="1"/>
        <v>24.201378443502378</v>
      </c>
      <c r="I48" s="30">
        <f t="shared" si="2"/>
        <v>508.8709677419356</v>
      </c>
      <c r="J48" s="30">
        <f t="shared" si="3"/>
        <v>-0.46774193548387188</v>
      </c>
      <c r="K48" s="30">
        <f t="shared" si="4"/>
        <v>-14.483870967741936</v>
      </c>
      <c r="M48" s="6">
        <f t="shared" si="5"/>
        <v>258949.66181061405</v>
      </c>
      <c r="N48" s="6">
        <f t="shared" si="6"/>
        <v>0.21878251821019856</v>
      </c>
      <c r="O48" s="6">
        <f t="shared" si="7"/>
        <v>-238.02029136316389</v>
      </c>
      <c r="P48" s="6">
        <f t="shared" si="8"/>
        <v>-7370.4214360041642</v>
      </c>
      <c r="Q48" s="6">
        <f t="shared" si="9"/>
        <v>6.774713839750274</v>
      </c>
    </row>
    <row r="49" spans="1:17" x14ac:dyDescent="0.2">
      <c r="A49" s="6">
        <v>30</v>
      </c>
      <c r="B49" s="92">
        <v>3600</v>
      </c>
      <c r="C49" s="92">
        <v>58</v>
      </c>
      <c r="D49" s="91">
        <v>24.5</v>
      </c>
      <c r="F49" s="14">
        <f t="shared" si="0"/>
        <v>21.040027762934997</v>
      </c>
      <c r="G49" s="14">
        <f t="shared" si="1"/>
        <v>21.040027762934997</v>
      </c>
      <c r="I49" s="30">
        <f t="shared" si="2"/>
        <v>608.8709677419356</v>
      </c>
      <c r="J49" s="30">
        <f t="shared" si="3"/>
        <v>-0.46774193548387188</v>
      </c>
      <c r="K49" s="30">
        <f t="shared" si="4"/>
        <v>-16.483870967741936</v>
      </c>
      <c r="M49" s="6">
        <f t="shared" si="5"/>
        <v>370723.8553590012</v>
      </c>
      <c r="N49" s="6">
        <f t="shared" si="6"/>
        <v>0.21878251821019856</v>
      </c>
      <c r="O49" s="6">
        <f t="shared" si="7"/>
        <v>-284.79448491155108</v>
      </c>
      <c r="P49" s="6">
        <f t="shared" si="8"/>
        <v>-10036.550468262229</v>
      </c>
      <c r="Q49" s="6">
        <f t="shared" si="9"/>
        <v>7.7101977107180177</v>
      </c>
    </row>
    <row r="50" spans="1:17" x14ac:dyDescent="0.2">
      <c r="A50" s="6">
        <v>31</v>
      </c>
      <c r="B50" s="92">
        <v>3900</v>
      </c>
      <c r="C50" s="92">
        <v>61</v>
      </c>
      <c r="D50" s="91">
        <v>26.5</v>
      </c>
      <c r="F50" s="14">
        <f t="shared" si="0"/>
        <v>16.015465043699606</v>
      </c>
      <c r="G50" s="14">
        <f t="shared" si="1"/>
        <v>16.015465043699606</v>
      </c>
      <c r="I50" s="30">
        <f t="shared" si="2"/>
        <v>908.8709677419356</v>
      </c>
      <c r="J50" s="30">
        <f t="shared" si="3"/>
        <v>2.5322580645161281</v>
      </c>
      <c r="K50" s="30">
        <f t="shared" si="4"/>
        <v>-14.483870967741936</v>
      </c>
      <c r="M50" s="6">
        <f t="shared" si="5"/>
        <v>826046.43600416253</v>
      </c>
      <c r="N50" s="6">
        <f t="shared" si="6"/>
        <v>6.412330905306967</v>
      </c>
      <c r="O50" s="6">
        <f t="shared" si="7"/>
        <v>2301.4958376690943</v>
      </c>
      <c r="P50" s="6">
        <f t="shared" si="8"/>
        <v>-13163.969823100939</v>
      </c>
      <c r="Q50" s="6">
        <f t="shared" si="9"/>
        <v>-36.676899063475531</v>
      </c>
    </row>
    <row r="51" spans="1:17" x14ac:dyDescent="0.2">
      <c r="M51" s="5">
        <f>SUM(M20:M50)</f>
        <v>4511935.4838709682</v>
      </c>
      <c r="N51" s="5">
        <f>SUM(N20:N50)</f>
        <v>1446.4677419354839</v>
      </c>
      <c r="O51" s="5">
        <f>SUM(O20:O50)</f>
        <v>23366.129032258061</v>
      </c>
      <c r="P51" s="5">
        <f>SUM(P20:P50)</f>
        <v>-107904.43548387096</v>
      </c>
      <c r="Q51" s="5">
        <f>SUM(Q20:Q50)</f>
        <v>1411.4838709677422</v>
      </c>
    </row>
  </sheetData>
  <hyperlinks>
    <hyperlink ref="A1:F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workbookViewId="0">
      <selection activeCell="S2" sqref="S2"/>
    </sheetView>
  </sheetViews>
  <sheetFormatPr defaultRowHeight="15" x14ac:dyDescent="0.25"/>
  <cols>
    <col min="1" max="1" width="11.140625" customWidth="1"/>
    <col min="2" max="4" width="13.85546875" customWidth="1"/>
    <col min="6" max="6" width="3.7109375" bestFit="1" customWidth="1"/>
    <col min="7" max="10" width="11" customWidth="1"/>
    <col min="11" max="11" width="3.42578125" customWidth="1"/>
    <col min="12" max="15" width="10.5703125" customWidth="1"/>
    <col min="16" max="19" width="11" customWidth="1"/>
    <col min="20" max="20" width="3.5703125" customWidth="1"/>
  </cols>
  <sheetData>
    <row r="1" spans="1:19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91" t="s">
        <v>272</v>
      </c>
    </row>
    <row r="3" spans="1:19" ht="18.75" x14ac:dyDescent="0.25">
      <c r="A3" s="1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9" t="s">
        <v>82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8.25" x14ac:dyDescent="0.25">
      <c r="A6" s="87" t="s">
        <v>88</v>
      </c>
      <c r="B6" s="87" t="str">
        <f>Коэффициенты!D19</f>
        <v>Y (Прочность)</v>
      </c>
      <c r="C6" s="87" t="str">
        <f>Коэффициенты!B19</f>
        <v>X1 (Концентрация)</v>
      </c>
      <c r="D6" s="87" t="str">
        <f>Коэффициенты!C19</f>
        <v>X2 (Температура)</v>
      </c>
      <c r="G6" s="72" t="s">
        <v>83</v>
      </c>
      <c r="H6" s="73"/>
      <c r="I6" s="73"/>
      <c r="J6" s="73"/>
      <c r="K6" s="73"/>
      <c r="L6" s="73"/>
      <c r="M6" s="73"/>
      <c r="N6" s="73"/>
      <c r="O6" s="74"/>
    </row>
    <row r="7" spans="1:19" x14ac:dyDescent="0.25">
      <c r="A7" s="67">
        <f>Коэффициенты!A20</f>
        <v>1</v>
      </c>
      <c r="B7" s="70">
        <f>Коэффициенты!D20</f>
        <v>60</v>
      </c>
      <c r="C7" s="70">
        <f>Коэффициенты!B20</f>
        <v>2400</v>
      </c>
      <c r="D7" s="70">
        <f>Коэффициенты!C20</f>
        <v>54.5</v>
      </c>
      <c r="F7" s="75"/>
      <c r="G7" s="76" t="str">
        <f>C6</f>
        <v>X1 (Концентрация)</v>
      </c>
      <c r="H7" s="76"/>
      <c r="I7" s="76"/>
      <c r="J7" s="76"/>
      <c r="M7" s="77" t="s">
        <v>84</v>
      </c>
      <c r="N7" s="78"/>
      <c r="O7" s="77">
        <f>COUNTA(B6:D6)</f>
        <v>3</v>
      </c>
    </row>
    <row r="8" spans="1:19" x14ac:dyDescent="0.25">
      <c r="A8" s="67">
        <f>Коэффициенты!A21</f>
        <v>2</v>
      </c>
      <c r="B8" s="70">
        <f>Коэффициенты!D21</f>
        <v>61</v>
      </c>
      <c r="C8" s="70">
        <f>Коэффициенты!B21</f>
        <v>2450</v>
      </c>
      <c r="D8" s="70">
        <f>Коэффициенты!C21</f>
        <v>56</v>
      </c>
      <c r="F8" s="177" t="str">
        <f>B6</f>
        <v>Y (Прочность)</v>
      </c>
      <c r="M8" s="79" t="s">
        <v>85</v>
      </c>
      <c r="N8" s="80"/>
      <c r="O8" s="79">
        <f>COMBIN(O7,2)</f>
        <v>3</v>
      </c>
    </row>
    <row r="9" spans="1:19" x14ac:dyDescent="0.25">
      <c r="A9" s="67">
        <f>Коэффициенты!A22</f>
        <v>3</v>
      </c>
      <c r="B9" s="70">
        <f>Коэффициенты!D22</f>
        <v>65</v>
      </c>
      <c r="C9" s="70">
        <f>Коэффициенты!B22</f>
        <v>2450</v>
      </c>
      <c r="D9" s="70">
        <f>Коэффициенты!C22</f>
        <v>58.5</v>
      </c>
      <c r="F9" s="177"/>
    </row>
    <row r="10" spans="1:19" x14ac:dyDescent="0.25">
      <c r="A10" s="67">
        <f>Коэффициенты!A23</f>
        <v>4</v>
      </c>
      <c r="B10" s="70">
        <f>Коэффициенты!D23</f>
        <v>30.5</v>
      </c>
      <c r="C10" s="70">
        <f>Коэффициенты!B23</f>
        <v>2500</v>
      </c>
      <c r="D10" s="70">
        <f>Коэффициенты!C23</f>
        <v>43</v>
      </c>
      <c r="F10" s="177"/>
    </row>
    <row r="11" spans="1:19" x14ac:dyDescent="0.25">
      <c r="A11" s="67">
        <f>Коэффициенты!A24</f>
        <v>5</v>
      </c>
      <c r="B11" s="70">
        <f>Коэффициенты!D24</f>
        <v>63.5</v>
      </c>
      <c r="C11" s="70">
        <f>Коэффициенты!B24</f>
        <v>2500</v>
      </c>
      <c r="D11" s="70">
        <f>Коэффициенты!C24</f>
        <v>58</v>
      </c>
      <c r="F11" s="177"/>
    </row>
    <row r="12" spans="1:19" x14ac:dyDescent="0.25">
      <c r="A12" s="67">
        <f>Коэффициенты!A25</f>
        <v>6</v>
      </c>
      <c r="B12" s="70">
        <f>Коэффициенты!D25</f>
        <v>65</v>
      </c>
      <c r="C12" s="70">
        <f>Коэффициенты!B25</f>
        <v>2500</v>
      </c>
      <c r="D12" s="70">
        <f>Коэффициенты!C25</f>
        <v>59</v>
      </c>
      <c r="F12" s="177"/>
    </row>
    <row r="13" spans="1:19" x14ac:dyDescent="0.25">
      <c r="A13" s="67">
        <f>Коэффициенты!A26</f>
        <v>7</v>
      </c>
      <c r="B13" s="70">
        <f>Коэффициенты!D26</f>
        <v>44</v>
      </c>
      <c r="C13" s="70">
        <f>Коэффициенты!B26</f>
        <v>2700</v>
      </c>
      <c r="D13" s="70">
        <f>Коэффициенты!C26</f>
        <v>52.5</v>
      </c>
      <c r="F13" s="177"/>
    </row>
    <row r="14" spans="1:19" x14ac:dyDescent="0.25">
      <c r="A14" s="67">
        <f>Коэффициенты!A27</f>
        <v>8</v>
      </c>
      <c r="B14" s="70">
        <f>Коэффициенты!D27</f>
        <v>52</v>
      </c>
      <c r="C14" s="70">
        <f>Коэффициенты!B27</f>
        <v>2700</v>
      </c>
      <c r="D14" s="70">
        <f>Коэффициенты!C27</f>
        <v>65.5</v>
      </c>
      <c r="F14" s="177"/>
    </row>
    <row r="15" spans="1:19" x14ac:dyDescent="0.25">
      <c r="A15" s="67">
        <f>Коэффициенты!A28</f>
        <v>9</v>
      </c>
      <c r="B15" s="70">
        <f>Коэффициенты!D28</f>
        <v>54.5</v>
      </c>
      <c r="C15" s="70">
        <f>Коэффициенты!B28</f>
        <v>2700</v>
      </c>
      <c r="D15" s="70">
        <f>Коэффициенты!C28</f>
        <v>68</v>
      </c>
      <c r="F15" s="177"/>
    </row>
    <row r="16" spans="1:19" x14ac:dyDescent="0.25">
      <c r="A16" s="67">
        <f>Коэффициенты!A29</f>
        <v>10</v>
      </c>
      <c r="B16" s="70">
        <f>Коэффициенты!D29</f>
        <v>30</v>
      </c>
      <c r="C16" s="70">
        <f>Коэффициенты!B29</f>
        <v>2750</v>
      </c>
      <c r="D16" s="70">
        <f>Коэффициенты!C29</f>
        <v>45</v>
      </c>
      <c r="F16" s="177"/>
    </row>
    <row r="17" spans="1:15" x14ac:dyDescent="0.25">
      <c r="A17" s="67">
        <f>Коэффициенты!A30</f>
        <v>11</v>
      </c>
      <c r="B17" s="70">
        <f>Коэффициенты!D30</f>
        <v>26</v>
      </c>
      <c r="C17" s="70">
        <f>Коэффициенты!B30</f>
        <v>2775</v>
      </c>
      <c r="D17" s="70">
        <f>Коэффициенты!C30</f>
        <v>45.5</v>
      </c>
      <c r="F17" s="177"/>
    </row>
    <row r="18" spans="1:15" x14ac:dyDescent="0.25">
      <c r="A18" s="67">
        <f>Коэффициенты!A31</f>
        <v>12</v>
      </c>
      <c r="B18" s="70">
        <f>Коэффициенты!D31</f>
        <v>23</v>
      </c>
      <c r="C18" s="70">
        <f>Коэффициенты!B31</f>
        <v>2800</v>
      </c>
      <c r="D18" s="70">
        <f>Коэффициенты!C31</f>
        <v>48</v>
      </c>
      <c r="F18" s="177"/>
      <c r="O18" s="81" t="s">
        <v>86</v>
      </c>
    </row>
    <row r="19" spans="1:15" x14ac:dyDescent="0.25">
      <c r="A19" s="67">
        <f>Коэффициенты!A32</f>
        <v>13</v>
      </c>
      <c r="B19" s="70">
        <f>Коэффициенты!D32</f>
        <v>54</v>
      </c>
      <c r="C19" s="70">
        <f>Коэффициенты!B32</f>
        <v>2800</v>
      </c>
      <c r="D19" s="70">
        <f>Коэффициенты!C32</f>
        <v>63</v>
      </c>
      <c r="F19" s="177"/>
      <c r="L19" s="82" t="str">
        <f>C6</f>
        <v>X1 (Концентрация)</v>
      </c>
      <c r="M19" s="82"/>
      <c r="N19" s="82"/>
      <c r="O19" s="82"/>
    </row>
    <row r="20" spans="1:15" x14ac:dyDescent="0.25">
      <c r="A20" s="67">
        <f>Коэффициенты!A33</f>
        <v>14</v>
      </c>
      <c r="B20" s="70">
        <f>Коэффициенты!D33</f>
        <v>36</v>
      </c>
      <c r="C20" s="70">
        <f>Коэффициенты!B33</f>
        <v>2900</v>
      </c>
      <c r="D20" s="70">
        <f>Коэффициенты!C33</f>
        <v>58.5</v>
      </c>
      <c r="F20" s="177" t="str">
        <f>B6</f>
        <v>Y (Прочность)</v>
      </c>
      <c r="K20" s="177" t="str">
        <f>D6</f>
        <v>X2 (Температура)</v>
      </c>
    </row>
    <row r="21" spans="1:15" x14ac:dyDescent="0.25">
      <c r="A21" s="67">
        <f>Коэффициенты!A34</f>
        <v>15</v>
      </c>
      <c r="B21" s="70">
        <f>Коэффициенты!D34</f>
        <v>53.5</v>
      </c>
      <c r="C21" s="70">
        <f>Коэффициенты!B34</f>
        <v>2900</v>
      </c>
      <c r="D21" s="70">
        <f>Коэффициенты!C34</f>
        <v>64.5</v>
      </c>
      <c r="F21" s="177"/>
      <c r="K21" s="177"/>
    </row>
    <row r="22" spans="1:15" x14ac:dyDescent="0.25">
      <c r="A22" s="67">
        <f>Коэффициенты!A35</f>
        <v>16</v>
      </c>
      <c r="B22" s="70">
        <f>Коэффициенты!D35</f>
        <v>57</v>
      </c>
      <c r="C22" s="70">
        <f>Коэффициенты!B35</f>
        <v>3000</v>
      </c>
      <c r="D22" s="70">
        <f>Коэффициенты!C35</f>
        <v>66</v>
      </c>
      <c r="F22" s="177"/>
      <c r="K22" s="177"/>
    </row>
    <row r="23" spans="1:15" x14ac:dyDescent="0.25">
      <c r="A23" s="67">
        <f>Коэффициенты!A36</f>
        <v>17</v>
      </c>
      <c r="B23" s="70">
        <f>Коэффициенты!D36</f>
        <v>33.5</v>
      </c>
      <c r="C23" s="70">
        <f>Коэффициенты!B36</f>
        <v>3075</v>
      </c>
      <c r="D23" s="70">
        <f>Коэффициенты!C36</f>
        <v>57</v>
      </c>
      <c r="F23" s="177"/>
      <c r="K23" s="177"/>
    </row>
    <row r="24" spans="1:15" x14ac:dyDescent="0.25">
      <c r="A24" s="67">
        <f>Коэффициенты!A37</f>
        <v>18</v>
      </c>
      <c r="B24" s="70">
        <f>Коэффициенты!D37</f>
        <v>34</v>
      </c>
      <c r="C24" s="70">
        <f>Коэффициенты!B37</f>
        <v>3100</v>
      </c>
      <c r="D24" s="70">
        <f>Коэффициенты!C37</f>
        <v>57.5</v>
      </c>
      <c r="F24" s="177"/>
      <c r="K24" s="177"/>
    </row>
    <row r="25" spans="1:15" x14ac:dyDescent="0.25">
      <c r="A25" s="67">
        <f>Коэффициенты!A38</f>
        <v>19</v>
      </c>
      <c r="B25" s="70">
        <f>Коэффициенты!D38</f>
        <v>44</v>
      </c>
      <c r="C25" s="70">
        <f>Коэффициенты!B38</f>
        <v>3150</v>
      </c>
      <c r="D25" s="70">
        <f>Коэффициенты!C38</f>
        <v>64</v>
      </c>
      <c r="F25" s="177"/>
      <c r="K25" s="177"/>
    </row>
    <row r="26" spans="1:15" x14ac:dyDescent="0.25">
      <c r="A26" s="67">
        <f>Коэффициенты!A39</f>
        <v>20</v>
      </c>
      <c r="B26" s="70">
        <f>Коэффициенты!D39</f>
        <v>33</v>
      </c>
      <c r="C26" s="70">
        <f>Коэффициенты!B39</f>
        <v>3200</v>
      </c>
      <c r="D26" s="70">
        <f>Коэффициенты!C39</f>
        <v>57</v>
      </c>
      <c r="F26" s="177"/>
      <c r="K26" s="177"/>
    </row>
    <row r="27" spans="1:15" x14ac:dyDescent="0.25">
      <c r="A27" s="67">
        <f>Коэффициенты!A40</f>
        <v>21</v>
      </c>
      <c r="B27" s="70">
        <f>Коэффициенты!D40</f>
        <v>39</v>
      </c>
      <c r="C27" s="70">
        <f>Коэффициенты!B40</f>
        <v>3200</v>
      </c>
      <c r="D27" s="70">
        <f>Коэффициенты!C40</f>
        <v>64</v>
      </c>
      <c r="F27" s="177"/>
      <c r="K27" s="177"/>
    </row>
    <row r="28" spans="1:15" x14ac:dyDescent="0.25">
      <c r="A28" s="67">
        <f>Коэффициенты!A41</f>
        <v>22</v>
      </c>
      <c r="B28" s="70">
        <f>Коэффициенты!D41</f>
        <v>53</v>
      </c>
      <c r="C28" s="70">
        <f>Коэффициенты!B41</f>
        <v>3200</v>
      </c>
      <c r="D28" s="70">
        <f>Коэффициенты!C41</f>
        <v>69</v>
      </c>
      <c r="F28" s="177"/>
      <c r="K28" s="177"/>
    </row>
    <row r="29" spans="1:15" x14ac:dyDescent="0.25">
      <c r="A29" s="67">
        <f>Коэффициенты!A42</f>
        <v>23</v>
      </c>
      <c r="B29" s="70">
        <f>Коэффициенты!D42</f>
        <v>38.5</v>
      </c>
      <c r="C29" s="70">
        <f>Коэффициенты!B42</f>
        <v>3225</v>
      </c>
      <c r="D29" s="70">
        <f>Коэффициенты!C42</f>
        <v>68</v>
      </c>
      <c r="F29" s="177"/>
      <c r="K29" s="177"/>
    </row>
    <row r="30" spans="1:15" x14ac:dyDescent="0.25">
      <c r="A30" s="67">
        <f>Коэффициенты!A43</f>
        <v>24</v>
      </c>
      <c r="B30" s="70">
        <f>Коэффициенты!D43</f>
        <v>39.5</v>
      </c>
      <c r="C30" s="70">
        <f>Коэффициенты!B43</f>
        <v>3250</v>
      </c>
      <c r="D30" s="70">
        <f>Коэффициенты!C43</f>
        <v>62</v>
      </c>
      <c r="F30" s="177"/>
      <c r="K30" s="177"/>
    </row>
    <row r="31" spans="1:15" x14ac:dyDescent="0.25">
      <c r="A31" s="67">
        <f>Коэффициенты!A44</f>
        <v>25</v>
      </c>
      <c r="B31" s="70">
        <f>Коэффициенты!D44</f>
        <v>36</v>
      </c>
      <c r="C31" s="70">
        <f>Коэффициенты!B44</f>
        <v>3250</v>
      </c>
      <c r="D31" s="70">
        <f>Коэффициенты!C44</f>
        <v>64.5</v>
      </c>
      <c r="F31" s="177"/>
      <c r="K31" s="177"/>
    </row>
    <row r="32" spans="1:15" x14ac:dyDescent="0.25">
      <c r="A32" s="67">
        <f>Коэффициенты!A45</f>
        <v>26</v>
      </c>
      <c r="B32" s="70">
        <f>Коэффициенты!D45</f>
        <v>8.5</v>
      </c>
      <c r="C32" s="70">
        <f>Коэффициенты!B45</f>
        <v>3250</v>
      </c>
      <c r="D32" s="70">
        <f>Коэффициенты!C45</f>
        <v>48</v>
      </c>
    </row>
    <row r="33" spans="1:23" ht="18.75" x14ac:dyDescent="0.25">
      <c r="A33" s="67">
        <f>Коэффициенты!A46</f>
        <v>27</v>
      </c>
      <c r="B33" s="70">
        <f>Коэффициенты!D46</f>
        <v>30</v>
      </c>
      <c r="C33" s="70">
        <f>Коэффициенты!B46</f>
        <v>3500</v>
      </c>
      <c r="D33" s="70">
        <f>Коэффициенты!C46</f>
        <v>60</v>
      </c>
      <c r="G33" s="72" t="s">
        <v>87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23" x14ac:dyDescent="0.25">
      <c r="A34" s="67">
        <f>Коэффициенты!A47</f>
        <v>28</v>
      </c>
      <c r="B34" s="70">
        <f>Коэффициенты!D47</f>
        <v>29</v>
      </c>
      <c r="C34" s="70">
        <f>Коэффициенты!B47</f>
        <v>3500</v>
      </c>
      <c r="D34" s="70">
        <f>Коэффициенты!C47</f>
        <v>59</v>
      </c>
      <c r="G34" s="178" t="str">
        <f>B6</f>
        <v>Y (Прочность)</v>
      </c>
      <c r="H34" s="179"/>
      <c r="I34" s="179"/>
      <c r="J34" s="180"/>
      <c r="U34" s="83" t="str">
        <f>"2 Синих диаграммы: "&amp;G34&amp;" vs "&amp;K46&amp;" (и наоборот)"</f>
        <v>2 Синих диаграммы: Y (Прочность) vs X2 (Температура) (и наоборот)</v>
      </c>
    </row>
    <row r="35" spans="1:23" x14ac:dyDescent="0.25">
      <c r="A35" s="67">
        <f>Коэффициенты!A48</f>
        <v>29</v>
      </c>
      <c r="B35" s="70">
        <f>Коэффициенты!D48</f>
        <v>26.5</v>
      </c>
      <c r="C35" s="70">
        <f>Коэффициенты!B48</f>
        <v>3500</v>
      </c>
      <c r="D35" s="70">
        <f>Коэффициенты!C48</f>
        <v>58</v>
      </c>
      <c r="G35" s="181"/>
      <c r="H35" s="182"/>
      <c r="I35" s="182"/>
      <c r="J35" s="183"/>
      <c r="U35" s="84" t="str">
        <f>"2 Красных диаграммы: "&amp;G34&amp;" vs "&amp;P58&amp;" (и наоборот)"</f>
        <v>2 Красных диаграммы: Y (Прочность) vs X1 (Концентрация) (и наоборот)</v>
      </c>
    </row>
    <row r="36" spans="1:23" x14ac:dyDescent="0.25">
      <c r="A36" s="67">
        <f>Коэффициенты!A49</f>
        <v>30</v>
      </c>
      <c r="B36" s="70">
        <f>Коэффициенты!D49</f>
        <v>24.5</v>
      </c>
      <c r="C36" s="70">
        <f>Коэффициенты!B49</f>
        <v>3600</v>
      </c>
      <c r="D36" s="70">
        <f>Коэффициенты!C49</f>
        <v>58</v>
      </c>
      <c r="G36" s="181"/>
      <c r="H36" s="182"/>
      <c r="I36" s="182"/>
      <c r="J36" s="183"/>
      <c r="U36" s="85" t="str">
        <f>"2 Зеленых диаграммы: "&amp;K46&amp;" vs "&amp;P58&amp;" (и наоборот)"</f>
        <v>2 Зеленых диаграммы: X2 (Температура) vs X1 (Концентрация) (и наоборот)</v>
      </c>
    </row>
    <row r="37" spans="1:23" x14ac:dyDescent="0.25">
      <c r="A37" s="67">
        <f>Коэффициенты!A50</f>
        <v>31</v>
      </c>
      <c r="B37" s="70">
        <f>Коэффициенты!D50</f>
        <v>26.5</v>
      </c>
      <c r="C37" s="70">
        <f>Коэффициенты!B50</f>
        <v>3900</v>
      </c>
      <c r="D37" s="70">
        <f>Коэффициенты!C50</f>
        <v>61</v>
      </c>
      <c r="G37" s="181"/>
      <c r="H37" s="182"/>
      <c r="I37" s="182"/>
      <c r="J37" s="183"/>
    </row>
    <row r="38" spans="1:23" x14ac:dyDescent="0.25">
      <c r="G38" s="181"/>
      <c r="H38" s="182"/>
      <c r="I38" s="182"/>
      <c r="J38" s="183"/>
      <c r="U38" s="86" t="s">
        <v>85</v>
      </c>
      <c r="V38" s="86"/>
      <c r="W38" s="86">
        <f>PERMUT(O7,2)</f>
        <v>6</v>
      </c>
    </row>
    <row r="39" spans="1:23" x14ac:dyDescent="0.25">
      <c r="G39" s="181"/>
      <c r="H39" s="182"/>
      <c r="I39" s="182"/>
      <c r="J39" s="183"/>
    </row>
    <row r="40" spans="1:23" x14ac:dyDescent="0.25">
      <c r="G40" s="181"/>
      <c r="H40" s="182"/>
      <c r="I40" s="182"/>
      <c r="J40" s="183"/>
    </row>
    <row r="41" spans="1:23" x14ac:dyDescent="0.25">
      <c r="G41" s="181"/>
      <c r="H41" s="182"/>
      <c r="I41" s="182"/>
      <c r="J41" s="183"/>
    </row>
    <row r="42" spans="1:23" x14ac:dyDescent="0.25">
      <c r="G42" s="181"/>
      <c r="H42" s="182"/>
      <c r="I42" s="182"/>
      <c r="J42" s="183"/>
    </row>
    <row r="43" spans="1:23" x14ac:dyDescent="0.25">
      <c r="G43" s="181"/>
      <c r="H43" s="182"/>
      <c r="I43" s="182"/>
      <c r="J43" s="183"/>
    </row>
    <row r="44" spans="1:23" x14ac:dyDescent="0.25">
      <c r="G44" s="181"/>
      <c r="H44" s="182"/>
      <c r="I44" s="182"/>
      <c r="J44" s="183"/>
    </row>
    <row r="45" spans="1:23" x14ac:dyDescent="0.25">
      <c r="G45" s="184"/>
      <c r="H45" s="185"/>
      <c r="I45" s="185"/>
      <c r="J45" s="186"/>
    </row>
    <row r="46" spans="1:23" x14ac:dyDescent="0.25">
      <c r="K46" s="178" t="str">
        <f>D6</f>
        <v>X2 (Температура)</v>
      </c>
      <c r="L46" s="179"/>
      <c r="M46" s="179"/>
      <c r="N46" s="179"/>
      <c r="O46" s="180"/>
    </row>
    <row r="47" spans="1:23" x14ac:dyDescent="0.25">
      <c r="K47" s="181"/>
      <c r="L47" s="182"/>
      <c r="M47" s="182"/>
      <c r="N47" s="182"/>
      <c r="O47" s="183"/>
    </row>
    <row r="48" spans="1:23" x14ac:dyDescent="0.25">
      <c r="K48" s="181"/>
      <c r="L48" s="182"/>
      <c r="M48" s="182"/>
      <c r="N48" s="182"/>
      <c r="O48" s="183"/>
    </row>
    <row r="49" spans="11:19" x14ac:dyDescent="0.25">
      <c r="K49" s="181"/>
      <c r="L49" s="182"/>
      <c r="M49" s="182"/>
      <c r="N49" s="182"/>
      <c r="O49" s="183"/>
    </row>
    <row r="50" spans="11:19" x14ac:dyDescent="0.25">
      <c r="K50" s="181"/>
      <c r="L50" s="182"/>
      <c r="M50" s="182"/>
      <c r="N50" s="182"/>
      <c r="O50" s="183"/>
    </row>
    <row r="51" spans="11:19" x14ac:dyDescent="0.25">
      <c r="K51" s="181"/>
      <c r="L51" s="182"/>
      <c r="M51" s="182"/>
      <c r="N51" s="182"/>
      <c r="O51" s="183"/>
    </row>
    <row r="52" spans="11:19" x14ac:dyDescent="0.25">
      <c r="K52" s="181"/>
      <c r="L52" s="182"/>
      <c r="M52" s="182"/>
      <c r="N52" s="182"/>
      <c r="O52" s="183"/>
    </row>
    <row r="53" spans="11:19" x14ac:dyDescent="0.25">
      <c r="K53" s="181"/>
      <c r="L53" s="182"/>
      <c r="M53" s="182"/>
      <c r="N53" s="182"/>
      <c r="O53" s="183"/>
    </row>
    <row r="54" spans="11:19" x14ac:dyDescent="0.25">
      <c r="K54" s="181"/>
      <c r="L54" s="182"/>
      <c r="M54" s="182"/>
      <c r="N54" s="182"/>
      <c r="O54" s="183"/>
    </row>
    <row r="55" spans="11:19" x14ac:dyDescent="0.25">
      <c r="K55" s="181"/>
      <c r="L55" s="182"/>
      <c r="M55" s="182"/>
      <c r="N55" s="182"/>
      <c r="O55" s="183"/>
    </row>
    <row r="56" spans="11:19" x14ac:dyDescent="0.25">
      <c r="K56" s="181"/>
      <c r="L56" s="182"/>
      <c r="M56" s="182"/>
      <c r="N56" s="182"/>
      <c r="O56" s="183"/>
    </row>
    <row r="57" spans="11:19" x14ac:dyDescent="0.25">
      <c r="K57" s="184"/>
      <c r="L57" s="185"/>
      <c r="M57" s="185"/>
      <c r="N57" s="185"/>
      <c r="O57" s="186"/>
    </row>
    <row r="58" spans="11:19" x14ac:dyDescent="0.25">
      <c r="P58" s="178" t="str">
        <f>C6</f>
        <v>X1 (Концентрация)</v>
      </c>
      <c r="Q58" s="179"/>
      <c r="R58" s="179"/>
      <c r="S58" s="180"/>
    </row>
    <row r="59" spans="11:19" x14ac:dyDescent="0.25">
      <c r="P59" s="181"/>
      <c r="Q59" s="182"/>
      <c r="R59" s="182"/>
      <c r="S59" s="183"/>
    </row>
    <row r="60" spans="11:19" x14ac:dyDescent="0.25">
      <c r="P60" s="181"/>
      <c r="Q60" s="182"/>
      <c r="R60" s="182"/>
      <c r="S60" s="183"/>
    </row>
    <row r="61" spans="11:19" x14ac:dyDescent="0.25">
      <c r="P61" s="181"/>
      <c r="Q61" s="182"/>
      <c r="R61" s="182"/>
      <c r="S61" s="183"/>
    </row>
    <row r="62" spans="11:19" x14ac:dyDescent="0.25">
      <c r="P62" s="181"/>
      <c r="Q62" s="182"/>
      <c r="R62" s="182"/>
      <c r="S62" s="183"/>
    </row>
    <row r="63" spans="11:19" x14ac:dyDescent="0.25">
      <c r="P63" s="181"/>
      <c r="Q63" s="182"/>
      <c r="R63" s="182"/>
      <c r="S63" s="183"/>
    </row>
    <row r="64" spans="11:19" x14ac:dyDescent="0.25">
      <c r="P64" s="181"/>
      <c r="Q64" s="182"/>
      <c r="R64" s="182"/>
      <c r="S64" s="183"/>
    </row>
    <row r="65" spans="16:19" x14ac:dyDescent="0.25">
      <c r="P65" s="181"/>
      <c r="Q65" s="182"/>
      <c r="R65" s="182"/>
      <c r="S65" s="183"/>
    </row>
    <row r="66" spans="16:19" x14ac:dyDescent="0.25">
      <c r="P66" s="181"/>
      <c r="Q66" s="182"/>
      <c r="R66" s="182"/>
      <c r="S66" s="183"/>
    </row>
    <row r="67" spans="16:19" x14ac:dyDescent="0.25">
      <c r="P67" s="181"/>
      <c r="Q67" s="182"/>
      <c r="R67" s="182"/>
      <c r="S67" s="183"/>
    </row>
    <row r="68" spans="16:19" x14ac:dyDescent="0.25">
      <c r="P68" s="181"/>
      <c r="Q68" s="182"/>
      <c r="R68" s="182"/>
      <c r="S68" s="183"/>
    </row>
    <row r="69" spans="16:19" x14ac:dyDescent="0.25">
      <c r="P69" s="184"/>
      <c r="Q69" s="185"/>
      <c r="R69" s="185"/>
      <c r="S69" s="186"/>
    </row>
  </sheetData>
  <mergeCells count="6">
    <mergeCell ref="F8:F19"/>
    <mergeCell ref="F20:F31"/>
    <mergeCell ref="G34:J45"/>
    <mergeCell ref="K46:O57"/>
    <mergeCell ref="P58:S69"/>
    <mergeCell ref="K20:K31"/>
  </mergeCells>
  <hyperlinks>
    <hyperlink ref="A1:C1" r:id="rId1" display="Файл скачан с сайта excel2.ru &gt;&gt;&gt;"/>
    <hyperlink ref="A2" r:id="rId2"/>
    <hyperlink ref="S2" r:id="rId3" display="Задать вопрос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35"/>
  <sheetViews>
    <sheetView topLeftCell="A16" zoomScale="85" zoomScaleNormal="85" workbookViewId="0">
      <selection activeCell="AC2" sqref="AC2"/>
    </sheetView>
  </sheetViews>
  <sheetFormatPr defaultRowHeight="15" x14ac:dyDescent="0.25"/>
  <cols>
    <col min="1" max="1" width="11" customWidth="1"/>
    <col min="2" max="4" width="13.85546875" customWidth="1"/>
    <col min="5" max="5" width="4.28515625" customWidth="1"/>
    <col min="6" max="6" width="3.7109375" bestFit="1" customWidth="1"/>
    <col min="7" max="7" width="11.5703125" customWidth="1"/>
    <col min="8" max="8" width="9.28515625" bestFit="1" customWidth="1"/>
    <col min="9" max="9" width="8.7109375" customWidth="1"/>
    <col min="11" max="14" width="10" customWidth="1"/>
    <col min="15" max="15" width="3.7109375" customWidth="1"/>
    <col min="16" max="16" width="2.85546875" customWidth="1"/>
    <col min="17" max="17" width="11.7109375" customWidth="1"/>
    <col min="18" max="18" width="14.42578125" customWidth="1"/>
    <col min="19" max="19" width="12.7109375" customWidth="1"/>
    <col min="20" max="20" width="8" customWidth="1"/>
    <col min="21" max="21" width="3.7109375" bestFit="1" customWidth="1"/>
    <col min="30" max="30" width="3.7109375" bestFit="1" customWidth="1"/>
  </cols>
  <sheetData>
    <row r="1" spans="1:30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91" t="s">
        <v>272</v>
      </c>
      <c r="AD2" s="2"/>
    </row>
    <row r="3" spans="1:30" ht="18.75" x14ac:dyDescent="0.25">
      <c r="A3" s="1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x14ac:dyDescent="0.25">
      <c r="A4" s="9" t="s">
        <v>160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6" spans="1:30" x14ac:dyDescent="0.25">
      <c r="A6" s="81" t="s">
        <v>196</v>
      </c>
      <c r="G6" s="134" t="s">
        <v>173</v>
      </c>
      <c r="H6" s="135"/>
      <c r="I6" s="135"/>
      <c r="J6" s="135"/>
      <c r="K6" s="135"/>
      <c r="L6" s="135"/>
      <c r="M6" s="135"/>
      <c r="N6" s="135"/>
      <c r="Q6" s="134" t="s">
        <v>174</v>
      </c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24.75" x14ac:dyDescent="0.25">
      <c r="A7" s="18" t="s">
        <v>81</v>
      </c>
      <c r="B7" s="18" t="s">
        <v>80</v>
      </c>
      <c r="C7" s="18" t="s">
        <v>79</v>
      </c>
      <c r="G7" s="130" t="s">
        <v>167</v>
      </c>
      <c r="H7" s="18" t="s">
        <v>77</v>
      </c>
      <c r="I7" s="18" t="s">
        <v>78</v>
      </c>
      <c r="J7" s="18" t="s">
        <v>3</v>
      </c>
      <c r="K7" s="64" t="s">
        <v>162</v>
      </c>
    </row>
    <row r="8" spans="1:30" ht="36.75" x14ac:dyDescent="0.25">
      <c r="A8" s="114">
        <f t="array" ref="A8:C8">LINEST(B36:B66,C36:D66)</f>
        <v>1.486496440822243</v>
      </c>
      <c r="B8" s="114">
        <v>-3.161350680567377E-2</v>
      </c>
      <c r="C8" s="114">
        <v>48.631858695670488</v>
      </c>
      <c r="G8" s="130" t="s">
        <v>166</v>
      </c>
      <c r="H8" s="18" t="s">
        <v>33</v>
      </c>
      <c r="I8" s="18" t="s">
        <v>123</v>
      </c>
      <c r="J8" s="18" t="s">
        <v>124</v>
      </c>
      <c r="K8" s="18" t="s">
        <v>125</v>
      </c>
      <c r="Q8" t="s">
        <v>172</v>
      </c>
      <c r="V8" t="s">
        <v>171</v>
      </c>
    </row>
    <row r="9" spans="1:30" x14ac:dyDescent="0.25">
      <c r="F9" s="131" t="s">
        <v>165</v>
      </c>
      <c r="G9" s="18" t="s">
        <v>5</v>
      </c>
      <c r="H9" s="141">
        <f>A28</f>
        <v>-0.83343836989689946</v>
      </c>
      <c r="I9" s="141">
        <f>B28</f>
        <v>0.70167762258110089</v>
      </c>
      <c r="J9" s="125">
        <v>-1</v>
      </c>
      <c r="K9" s="67">
        <f>SQRT(SUMSQ(H9:J9))</f>
        <v>1.4788411011489595</v>
      </c>
      <c r="Q9" s="18" t="s">
        <v>109</v>
      </c>
      <c r="R9" s="18" t="s">
        <v>110</v>
      </c>
      <c r="S9" s="18" t="s">
        <v>111</v>
      </c>
      <c r="T9" s="18" t="s">
        <v>112</v>
      </c>
      <c r="V9" s="110" t="s">
        <v>119</v>
      </c>
      <c r="W9" s="67">
        <f>-Q10/R10</f>
        <v>2.1267125798287836E-2</v>
      </c>
      <c r="X9" s="67" t="s">
        <v>120</v>
      </c>
      <c r="Y9" s="64" t="s">
        <v>121</v>
      </c>
    </row>
    <row r="10" spans="1:30" x14ac:dyDescent="0.25">
      <c r="F10" s="131" t="s">
        <v>168</v>
      </c>
      <c r="G10" s="18" t="s">
        <v>2</v>
      </c>
      <c r="H10" s="125">
        <v>0</v>
      </c>
      <c r="I10" s="125">
        <v>0</v>
      </c>
      <c r="J10" s="111">
        <v>1</v>
      </c>
      <c r="K10" s="67">
        <f>SQRT(SUMSQ(H10:J10))</f>
        <v>1</v>
      </c>
      <c r="Q10" s="114">
        <f>A13</f>
        <v>-3.161350680567377E-2</v>
      </c>
      <c r="R10" s="114">
        <f>B13</f>
        <v>1.486496440822243</v>
      </c>
      <c r="S10" s="67">
        <v>-1</v>
      </c>
      <c r="T10" s="67">
        <f>C13</f>
        <v>48.631858695670488</v>
      </c>
    </row>
    <row r="11" spans="1:30" x14ac:dyDescent="0.25">
      <c r="A11" s="140" t="str">
        <f>Коэффициенты!A15</f>
        <v>Такая запись м.б. удобна (коэффициент над соответствующей переменной)</v>
      </c>
      <c r="Q11" t="str">
        <f>"Плоскость тренда: Y="&amp;ROUND(C13,3)&amp;IF(SIGN(A13)=-1,"-","+")&amp;ROUND(ABS(A13),3)&amp;"*Х1"&amp;IF(SIGN(B13)=-1,"-","+")&amp;ROUND(ABS(B13),3)&amp;"*Х2"</f>
        <v>Плоскость тренда: Y=48,632-0,032*Х1+1,486*Х2</v>
      </c>
      <c r="R11" s="123"/>
      <c r="S11" s="119"/>
      <c r="T11" s="119"/>
    </row>
    <row r="12" spans="1:30" x14ac:dyDescent="0.25">
      <c r="A12" s="18" t="s">
        <v>80</v>
      </c>
      <c r="B12" s="18" t="s">
        <v>81</v>
      </c>
      <c r="C12" s="18" t="s">
        <v>79</v>
      </c>
      <c r="G12" s="67"/>
      <c r="H12" s="67">
        <v>1</v>
      </c>
      <c r="I12" s="67">
        <v>1</v>
      </c>
      <c r="J12" s="67">
        <v>1</v>
      </c>
      <c r="K12" s="18" t="s">
        <v>125</v>
      </c>
      <c r="V12" s="18" t="s">
        <v>122</v>
      </c>
      <c r="W12" s="18" t="s">
        <v>33</v>
      </c>
      <c r="X12" s="18" t="s">
        <v>123</v>
      </c>
      <c r="Y12" s="18" t="s">
        <v>124</v>
      </c>
      <c r="Z12" s="18" t="s">
        <v>125</v>
      </c>
    </row>
    <row r="13" spans="1:30" x14ac:dyDescent="0.25">
      <c r="A13" s="125">
        <f>B8</f>
        <v>-3.161350680567377E-2</v>
      </c>
      <c r="B13" s="125">
        <f>A8</f>
        <v>1.486496440822243</v>
      </c>
      <c r="C13" s="126">
        <f>C8</f>
        <v>48.631858695670488</v>
      </c>
      <c r="G13" s="18" t="s">
        <v>5</v>
      </c>
      <c r="H13" s="114">
        <f t="shared" ref="H13:J14" si="0">H9/$K9</f>
        <v>-0.56357533561203721</v>
      </c>
      <c r="I13" s="114">
        <f t="shared" si="0"/>
        <v>0.47447803691413826</v>
      </c>
      <c r="J13" s="114">
        <f t="shared" si="0"/>
        <v>-0.67620517121350476</v>
      </c>
      <c r="K13" s="67">
        <f>SQRT(SUMSQ(H13:J13))</f>
        <v>1</v>
      </c>
      <c r="M13" s="67" t="s">
        <v>153</v>
      </c>
      <c r="N13" s="67">
        <f>K15</f>
        <v>0.73671335431368057</v>
      </c>
      <c r="Q13" t="s">
        <v>117</v>
      </c>
      <c r="V13" s="115" t="s">
        <v>126</v>
      </c>
      <c r="W13" s="126">
        <f>AVERAGE(C36:C66)</f>
        <v>2991.1290322580644</v>
      </c>
      <c r="X13" s="111">
        <f>W9*W13</f>
        <v>63.612717407943208</v>
      </c>
      <c r="Y13" s="67">
        <v>0</v>
      </c>
      <c r="Z13" s="114">
        <f>SQRT(SUMSQ(W13:Y13))</f>
        <v>2991.8053856213787</v>
      </c>
    </row>
    <row r="14" spans="1:30" x14ac:dyDescent="0.25">
      <c r="G14" s="18" t="s">
        <v>2</v>
      </c>
      <c r="H14" s="114">
        <f t="shared" si="0"/>
        <v>0</v>
      </c>
      <c r="I14" s="114">
        <f t="shared" si="0"/>
        <v>0</v>
      </c>
      <c r="J14" s="114">
        <f t="shared" si="0"/>
        <v>1</v>
      </c>
      <c r="K14" s="67">
        <f>SQRT(SUMSQ(H14:J14))</f>
        <v>1</v>
      </c>
      <c r="M14" s="67" t="s">
        <v>154</v>
      </c>
      <c r="N14" s="67">
        <f>SUMPRODUCT(H13:J13,H14:J14)</f>
        <v>-0.67620517121350476</v>
      </c>
      <c r="Q14" s="18" t="s">
        <v>113</v>
      </c>
      <c r="R14" s="18" t="s">
        <v>114</v>
      </c>
      <c r="S14" s="18" t="s">
        <v>115</v>
      </c>
      <c r="T14" s="18" t="s">
        <v>116</v>
      </c>
      <c r="V14" s="116" t="s">
        <v>127</v>
      </c>
      <c r="W14" s="114">
        <f>W13/$Z$13</f>
        <v>0.99977393136379633</v>
      </c>
      <c r="X14" s="114">
        <f>X13/$Z$13</f>
        <v>2.1262317968162643E-2</v>
      </c>
      <c r="Y14" s="67">
        <f>Y13/$Z$13</f>
        <v>0</v>
      </c>
      <c r="Z14" s="67">
        <f>SQRT(SUMSQ(W14:Y14))</f>
        <v>1</v>
      </c>
    </row>
    <row r="15" spans="1:30" x14ac:dyDescent="0.25">
      <c r="F15" s="132" t="s">
        <v>169</v>
      </c>
      <c r="G15" s="18" t="s">
        <v>170</v>
      </c>
      <c r="H15" s="67">
        <f t="array" ref="H15:J15">TRANSPOSE(MINVERSE(H12:J14))*MDETERM(H12:J14)</f>
        <v>0.47447803691413809</v>
      </c>
      <c r="I15" s="67">
        <v>0.56357533561203721</v>
      </c>
      <c r="J15" s="67">
        <v>0</v>
      </c>
      <c r="K15" s="67">
        <f>SQRT(SUMSQ(H15:J15))</f>
        <v>0.73671335431368057</v>
      </c>
      <c r="M15" s="111" t="s">
        <v>155</v>
      </c>
      <c r="N15" s="67">
        <f>(1-N14)/(N13*N13)</f>
        <v>3.0883754498110991</v>
      </c>
      <c r="Q15" s="67">
        <v>0</v>
      </c>
      <c r="R15" s="67">
        <v>0</v>
      </c>
      <c r="S15" s="67">
        <v>-1</v>
      </c>
      <c r="T15" s="67">
        <v>0</v>
      </c>
    </row>
    <row r="16" spans="1:30" x14ac:dyDescent="0.25">
      <c r="V16" s="67">
        <v>0</v>
      </c>
      <c r="W16" s="67">
        <v>0</v>
      </c>
      <c r="X16" s="67">
        <v>1</v>
      </c>
      <c r="Y16" t="s">
        <v>128</v>
      </c>
      <c r="AA16" s="64" t="s">
        <v>129</v>
      </c>
    </row>
    <row r="17" spans="1:24" x14ac:dyDescent="0.25">
      <c r="A17" s="4"/>
      <c r="B17" s="5" t="str">
        <f>B35</f>
        <v>Y (Прочность)</v>
      </c>
      <c r="C17" s="5" t="str">
        <f>C35</f>
        <v>X1 (Концентрация)</v>
      </c>
      <c r="D17" s="5" t="str">
        <f>D35</f>
        <v>X2 (Температура)</v>
      </c>
      <c r="G17" s="19" t="s">
        <v>156</v>
      </c>
      <c r="K17" s="19" t="s">
        <v>157</v>
      </c>
      <c r="Q17" s="19" t="s">
        <v>132</v>
      </c>
      <c r="V17" s="67">
        <f>-ABS(SUMPRODUCT(V16:X16,Q10:S10))</f>
        <v>-1</v>
      </c>
      <c r="W17" t="s">
        <v>141</v>
      </c>
    </row>
    <row r="18" spans="1:24" x14ac:dyDescent="0.25">
      <c r="A18" s="5" t="s">
        <v>75</v>
      </c>
      <c r="B18" s="45">
        <f>MIN(B$36:B$66)</f>
        <v>8.5</v>
      </c>
      <c r="C18" s="45">
        <f>MIN(C$36:C$66)</f>
        <v>2400</v>
      </c>
      <c r="D18" s="45">
        <f>MIN(D$36:D$66)</f>
        <v>43</v>
      </c>
      <c r="G18" s="67">
        <v>0</v>
      </c>
      <c r="H18" s="67">
        <f>-J15</f>
        <v>0</v>
      </c>
      <c r="I18" s="67">
        <f>I15</f>
        <v>0.56357533561203721</v>
      </c>
      <c r="K18" s="67">
        <f t="array" ref="K18:M20">MMULT(G18:I20,G18:I20)</f>
        <v>-0.31761715891022035</v>
      </c>
      <c r="L18" s="67">
        <v>0.26740411889442595</v>
      </c>
      <c r="M18" s="67">
        <v>0</v>
      </c>
      <c r="Q18" s="133">
        <f>cz+ux*ux*(1-cz)</f>
        <v>0.99929561031506853</v>
      </c>
      <c r="R18" s="133">
        <f>ux*uy*(1-cz)-uz*sz</f>
        <v>3.3121056959588453E-2</v>
      </c>
      <c r="S18" s="133">
        <f>ux*uz*(1-cz)+uy*sz</f>
        <v>1.7643094709123678E-2</v>
      </c>
      <c r="V18" s="114">
        <f>V17/(SQRT(SUMSQ(V16:X16))*SQRT(SUMSQ(Q10:S10)))</f>
        <v>-0.55808723839385066</v>
      </c>
      <c r="W18" t="s">
        <v>130</v>
      </c>
    </row>
    <row r="19" spans="1:24" x14ac:dyDescent="0.25">
      <c r="A19" s="5" t="s">
        <v>76</v>
      </c>
      <c r="B19" s="45">
        <f>MAX(B$36:B$66)</f>
        <v>65</v>
      </c>
      <c r="C19" s="45">
        <f>MAX(C$36:C$66)</f>
        <v>3900</v>
      </c>
      <c r="D19" s="45">
        <f>MAX(D$36:D$66)</f>
        <v>69</v>
      </c>
      <c r="G19" s="67">
        <f>J15</f>
        <v>0</v>
      </c>
      <c r="H19" s="67">
        <v>0</v>
      </c>
      <c r="I19" s="67">
        <f>-H15</f>
        <v>-0.47447803691413809</v>
      </c>
      <c r="K19" s="67">
        <v>0.26740411889442595</v>
      </c>
      <c r="L19" s="67">
        <v>-0.22512940751389418</v>
      </c>
      <c r="M19" s="67">
        <v>0</v>
      </c>
      <c r="Q19" s="133">
        <f>uy*ux*(1-cz)+uz*sz</f>
        <v>3.3121056959588453E-2</v>
      </c>
      <c r="R19" s="133">
        <f>cz+uy*uy*(1-cz)</f>
        <v>-0.55738284870891885</v>
      </c>
      <c r="S19" s="133">
        <f>uy*uz*(1-cz)-ux*sz</f>
        <v>-0.82959469354077375</v>
      </c>
      <c r="V19" s="114">
        <f>SQRT(1-V18*V18)</f>
        <v>0.82978228128945086</v>
      </c>
      <c r="W19" t="s">
        <v>131</v>
      </c>
    </row>
    <row r="20" spans="1:24" x14ac:dyDescent="0.25">
      <c r="A20" s="5" t="s">
        <v>192</v>
      </c>
      <c r="B20" s="45">
        <f>AVERAGE(B$36:B$66)</f>
        <v>40.983870967741936</v>
      </c>
      <c r="C20" s="45">
        <f>AVERAGE(C$36:C$66)</f>
        <v>2991.1290322580644</v>
      </c>
      <c r="D20" s="45">
        <f>AVERAGE(D$36:D$66)</f>
        <v>58.467741935483872</v>
      </c>
      <c r="G20" s="67">
        <f>-I15</f>
        <v>-0.56357533561203721</v>
      </c>
      <c r="H20" s="67">
        <f>H15</f>
        <v>0.47447803691413809</v>
      </c>
      <c r="I20" s="67">
        <v>0</v>
      </c>
      <c r="K20" s="67">
        <v>0</v>
      </c>
      <c r="L20" s="67">
        <v>0</v>
      </c>
      <c r="M20" s="67">
        <v>-0.54274656642411456</v>
      </c>
      <c r="Q20" s="133">
        <f>uz*ux*(1-cz)-uy*sz</f>
        <v>-1.7643094709123678E-2</v>
      </c>
      <c r="R20" s="133">
        <f>uz*uy*(1-cz)+ux*sz</f>
        <v>0.82959469354077375</v>
      </c>
      <c r="S20" s="133">
        <f>cz+uz*uz*(1-cz)</f>
        <v>-0.55808723839385066</v>
      </c>
      <c r="V20" s="117">
        <f>IF(ACOS(V18)/PI()*180&gt;90,180-ACOS(V18)/PI()*180,ACOS(V18)/PI()*180)</f>
        <v>56.07637952117922</v>
      </c>
      <c r="W20" t="s">
        <v>142</v>
      </c>
    </row>
    <row r="21" spans="1:24" x14ac:dyDescent="0.25">
      <c r="A21" s="5" t="s">
        <v>193</v>
      </c>
      <c r="B21" s="45">
        <f>_xlfn.STDEV.S(B$36:B$66)</f>
        <v>14.710248055334159</v>
      </c>
      <c r="C21" s="45">
        <f>_xlfn.STDEV.S(C$36:C$66)</f>
        <v>387.81161594563685</v>
      </c>
      <c r="D21" s="45">
        <f>_xlfn.STDEV.S(D$36:D$66)</f>
        <v>6.943744767619954</v>
      </c>
    </row>
    <row r="22" spans="1:24" x14ac:dyDescent="0.25">
      <c r="G22" s="19" t="s">
        <v>158</v>
      </c>
      <c r="K22" s="19" t="s">
        <v>159</v>
      </c>
      <c r="V22" s="19" t="s">
        <v>148</v>
      </c>
    </row>
    <row r="23" spans="1:24" x14ac:dyDescent="0.25">
      <c r="A23" t="s">
        <v>197</v>
      </c>
      <c r="G23" s="133">
        <f t="shared" ref="G23:I25" si="1">K28+G18+K23</f>
        <v>1.9078963982924857E-2</v>
      </c>
      <c r="H23" s="133">
        <f t="shared" si="1"/>
        <v>0.82584431597191332</v>
      </c>
      <c r="I23" s="133">
        <f t="shared" si="1"/>
        <v>0.56357533561203721</v>
      </c>
      <c r="K23" s="109">
        <f t="shared" ref="K23:M25" si="2">K18*$N$15</f>
        <v>-0.98092103601707514</v>
      </c>
      <c r="L23" s="109">
        <f t="shared" si="2"/>
        <v>0.82584431597191332</v>
      </c>
      <c r="M23" s="109">
        <f t="shared" si="2"/>
        <v>0</v>
      </c>
      <c r="Q23" s="19" t="s">
        <v>200</v>
      </c>
      <c r="V23" s="19" t="s">
        <v>161</v>
      </c>
    </row>
    <row r="24" spans="1:24" x14ac:dyDescent="0.25">
      <c r="A24" s="18" t="s">
        <v>81</v>
      </c>
      <c r="B24" s="18" t="s">
        <v>80</v>
      </c>
      <c r="C24" s="18" t="s">
        <v>79</v>
      </c>
      <c r="G24" s="133">
        <f t="shared" si="1"/>
        <v>0.82584431597191332</v>
      </c>
      <c r="H24" s="133">
        <f t="shared" si="1"/>
        <v>0.30471586480357082</v>
      </c>
      <c r="I24" s="133">
        <f t="shared" si="1"/>
        <v>-0.47447803691413809</v>
      </c>
      <c r="K24" s="109">
        <f t="shared" si="2"/>
        <v>0.82584431597191332</v>
      </c>
      <c r="L24" s="109">
        <f t="shared" si="2"/>
        <v>-0.69528413519642918</v>
      </c>
      <c r="M24" s="109">
        <f t="shared" si="2"/>
        <v>0</v>
      </c>
      <c r="Q24" s="70">
        <f t="array" ref="Q24:S26">MMULT(V24:X26,G23:I25)</f>
        <v>1.9078963982924857E-2</v>
      </c>
      <c r="R24" s="70">
        <v>0.82584431597191332</v>
      </c>
      <c r="S24" s="70">
        <v>0.56357533561203721</v>
      </c>
      <c r="V24" s="67">
        <f>COS(R30)</f>
        <v>1</v>
      </c>
      <c r="W24" s="67">
        <f>-SIN(R30)</f>
        <v>0</v>
      </c>
      <c r="X24" s="67">
        <v>0</v>
      </c>
    </row>
    <row r="25" spans="1:24" x14ac:dyDescent="0.25">
      <c r="A25" s="125">
        <f t="array" ref="A25:C25">LINEST(B71:B101,C71:D101)</f>
        <v>0.70167762258110089</v>
      </c>
      <c r="B25" s="125">
        <v>-0.83343836989689946</v>
      </c>
      <c r="C25" s="126">
        <v>2.6705354723899731E-16</v>
      </c>
      <c r="G25" s="133">
        <f t="shared" si="1"/>
        <v>-0.56357533561203721</v>
      </c>
      <c r="H25" s="133">
        <f t="shared" si="1"/>
        <v>0.47447803691413809</v>
      </c>
      <c r="I25" s="133">
        <f t="shared" si="1"/>
        <v>-0.67620517121350443</v>
      </c>
      <c r="K25" s="109">
        <f t="shared" si="2"/>
        <v>0</v>
      </c>
      <c r="L25" s="109">
        <f t="shared" si="2"/>
        <v>0</v>
      </c>
      <c r="M25" s="109">
        <f t="shared" si="2"/>
        <v>-1.6762051712135044</v>
      </c>
      <c r="Q25" s="70">
        <v>0.82584431597191332</v>
      </c>
      <c r="R25" s="70">
        <v>0.30471586480357082</v>
      </c>
      <c r="S25" s="70">
        <v>-0.47447803691413809</v>
      </c>
      <c r="V25" s="67">
        <f>SIN(R30)</f>
        <v>0</v>
      </c>
      <c r="W25" s="67">
        <f>COS(R30)</f>
        <v>1</v>
      </c>
      <c r="X25" s="67">
        <v>0</v>
      </c>
    </row>
    <row r="26" spans="1:24" x14ac:dyDescent="0.25">
      <c r="Q26" s="70">
        <v>-0.56357533561203721</v>
      </c>
      <c r="R26" s="70">
        <v>0.47447803691413809</v>
      </c>
      <c r="S26" s="70">
        <v>-0.67620517121350443</v>
      </c>
      <c r="V26" s="67">
        <v>0</v>
      </c>
      <c r="W26" s="67">
        <v>0</v>
      </c>
      <c r="X26" s="67">
        <v>1</v>
      </c>
    </row>
    <row r="27" spans="1:24" x14ac:dyDescent="0.25">
      <c r="A27" s="18" t="s">
        <v>80</v>
      </c>
      <c r="B27" s="18" t="s">
        <v>81</v>
      </c>
      <c r="C27" s="18" t="s">
        <v>79</v>
      </c>
      <c r="G27" t="s">
        <v>163</v>
      </c>
      <c r="K27" s="19" t="s">
        <v>164</v>
      </c>
    </row>
    <row r="28" spans="1:24" x14ac:dyDescent="0.25">
      <c r="A28" s="141">
        <f>B25</f>
        <v>-0.83343836989689946</v>
      </c>
      <c r="B28" s="142">
        <f>A25</f>
        <v>0.70167762258110089</v>
      </c>
      <c r="C28" s="70">
        <f>C25</f>
        <v>2.6705354723899731E-16</v>
      </c>
      <c r="G28" s="114">
        <f t="array" ref="G28:G30">MMULT(G23:I25,TRANSPOSE(H13:J13))</f>
        <v>-1.6653345369377348E-16</v>
      </c>
      <c r="H28" t="b">
        <f>H14=G28</f>
        <v>0</v>
      </c>
      <c r="K28" s="67">
        <v>1</v>
      </c>
      <c r="L28" s="67">
        <v>0</v>
      </c>
      <c r="M28" s="67">
        <v>0</v>
      </c>
      <c r="Q28" s="19" t="s">
        <v>201</v>
      </c>
    </row>
    <row r="29" spans="1:24" x14ac:dyDescent="0.25">
      <c r="G29" s="114">
        <v>2.7755575615628914E-16</v>
      </c>
      <c r="H29" t="b">
        <f>I14=G29</f>
        <v>0</v>
      </c>
      <c r="K29" s="67">
        <v>0</v>
      </c>
      <c r="L29" s="67">
        <v>1</v>
      </c>
      <c r="M29" s="67">
        <v>0</v>
      </c>
      <c r="Q29" s="18" t="s">
        <v>149</v>
      </c>
      <c r="R29" s="18" t="s">
        <v>150</v>
      </c>
    </row>
    <row r="30" spans="1:24" x14ac:dyDescent="0.25">
      <c r="G30" s="114">
        <v>0.99999999999999978</v>
      </c>
      <c r="H30" s="50" t="b">
        <f>J14=G30</f>
        <v>1</v>
      </c>
      <c r="K30" s="67">
        <v>0</v>
      </c>
      <c r="L30" s="67">
        <v>0</v>
      </c>
      <c r="M30" s="67">
        <v>1</v>
      </c>
      <c r="Q30" s="71">
        <v>0</v>
      </c>
      <c r="R30" s="67">
        <f>Q30/180*PI()</f>
        <v>0</v>
      </c>
    </row>
    <row r="31" spans="1:24" ht="25.5" customHeight="1" x14ac:dyDescent="0.25">
      <c r="Q31" s="68"/>
      <c r="R31" s="68"/>
    </row>
    <row r="32" spans="1:24" x14ac:dyDescent="0.25">
      <c r="Q32" s="68"/>
      <c r="R32" s="68"/>
    </row>
    <row r="33" spans="1:29" x14ac:dyDescent="0.25">
      <c r="C33" s="68"/>
      <c r="D33" s="68"/>
    </row>
    <row r="34" spans="1:29" ht="37.5" x14ac:dyDescent="0.25">
      <c r="A34" s="127" t="s">
        <v>151</v>
      </c>
      <c r="B34" s="128"/>
      <c r="C34" s="129"/>
      <c r="D34" s="129"/>
      <c r="G34" s="106" t="s">
        <v>198</v>
      </c>
      <c r="H34" s="107"/>
      <c r="I34" s="107"/>
      <c r="J34" s="107"/>
      <c r="K34" s="107"/>
      <c r="L34" s="107"/>
      <c r="M34" s="107"/>
      <c r="N34" s="108"/>
      <c r="Q34" t="s">
        <v>137</v>
      </c>
      <c r="V34" s="122" t="s">
        <v>195</v>
      </c>
      <c r="W34" s="107"/>
      <c r="X34" s="107"/>
      <c r="Y34" s="107"/>
      <c r="Z34" s="107"/>
      <c r="AA34" s="107"/>
      <c r="AB34" s="107"/>
      <c r="AC34" s="108"/>
    </row>
    <row r="35" spans="1:29" ht="29.25" customHeight="1" x14ac:dyDescent="0.25">
      <c r="A35" s="88" t="s">
        <v>88</v>
      </c>
      <c r="B35" s="88" t="str">
        <f>Коэффициенты!D19</f>
        <v>Y (Прочность)</v>
      </c>
      <c r="C35" s="88" t="str">
        <f>Коэффициенты!B19</f>
        <v>X1 (Концентрация)</v>
      </c>
      <c r="D35" s="88" t="str">
        <f>Коэффициенты!C19</f>
        <v>X2 (Температура)</v>
      </c>
      <c r="F35" s="75"/>
      <c r="G35" s="76" t="str">
        <f>C35</f>
        <v>X1 (Концентрация)</v>
      </c>
      <c r="H35" s="76"/>
      <c r="I35" s="76"/>
      <c r="J35" s="76"/>
      <c r="L35" s="77" t="s">
        <v>84</v>
      </c>
      <c r="M35" s="78"/>
      <c r="N35" s="77">
        <f>COUNTA(B35:D35)</f>
        <v>3</v>
      </c>
      <c r="Q35" s="88" t="str">
        <f>B35</f>
        <v>Y (Прочность)</v>
      </c>
      <c r="R35" s="88" t="str">
        <f>C35</f>
        <v>X1 (Концентрация)</v>
      </c>
      <c r="S35" s="88" t="str">
        <f>D35</f>
        <v>X2 (Температура)</v>
      </c>
      <c r="U35" s="75"/>
      <c r="V35" s="76" t="str">
        <f>R35</f>
        <v>X1 (Концентрация)</v>
      </c>
      <c r="W35" s="76"/>
      <c r="X35" s="76"/>
      <c r="Y35" s="76"/>
    </row>
    <row r="36" spans="1:29" x14ac:dyDescent="0.25">
      <c r="A36" s="80">
        <v>1</v>
      </c>
      <c r="B36" s="70">
        <f>Коэффициенты!D20</f>
        <v>60</v>
      </c>
      <c r="C36" s="70">
        <f>Коэффициенты!B20</f>
        <v>2400</v>
      </c>
      <c r="D36" s="70">
        <f>Коэффициенты!C20</f>
        <v>54.5</v>
      </c>
      <c r="F36" s="177" t="str">
        <f>B35</f>
        <v>Y (Прочность)</v>
      </c>
      <c r="L36" s="79" t="s">
        <v>85</v>
      </c>
      <c r="M36" s="80"/>
      <c r="N36" s="79">
        <f>COMBIN(N35,2)</f>
        <v>3</v>
      </c>
      <c r="Q36" s="113">
        <f>S105</f>
        <v>-0.28622172607374197</v>
      </c>
      <c r="R36" s="113">
        <f>Q105</f>
        <v>0.22756201291346778</v>
      </c>
      <c r="S36" s="113">
        <f>R105</f>
        <v>-2.0462908390959567</v>
      </c>
      <c r="U36" s="188" t="str">
        <f>Q35</f>
        <v>Y (Прочность)</v>
      </c>
    </row>
    <row r="37" spans="1:29" ht="15" customHeight="1" x14ac:dyDescent="0.25">
      <c r="A37" s="80">
        <v>2</v>
      </c>
      <c r="B37" s="70">
        <f>Коэффициенты!D21</f>
        <v>61</v>
      </c>
      <c r="C37" s="70">
        <f>Коэффициенты!B21</f>
        <v>2450</v>
      </c>
      <c r="D37" s="70">
        <f>Коэффициенты!C21</f>
        <v>56</v>
      </c>
      <c r="F37" s="177"/>
      <c r="Q37" s="113">
        <f t="shared" ref="Q37:Q66" si="3">S106</f>
        <v>-0.30235341460942544</v>
      </c>
      <c r="R37" s="113">
        <f t="shared" ref="R37:S52" si="4">Q106</f>
        <v>0.44673393260178662</v>
      </c>
      <c r="S37" s="113">
        <f t="shared" si="4"/>
        <v>-1.9062455783031789</v>
      </c>
      <c r="U37" s="187"/>
    </row>
    <row r="38" spans="1:29" x14ac:dyDescent="0.25">
      <c r="A38" s="80">
        <v>3</v>
      </c>
      <c r="B38" s="70">
        <f>Коэффициенты!D22</f>
        <v>65</v>
      </c>
      <c r="C38" s="70">
        <f>Коэффициенты!B22</f>
        <v>2450</v>
      </c>
      <c r="D38" s="70">
        <f>Коэффициенты!C22</f>
        <v>58.5</v>
      </c>
      <c r="F38" s="177"/>
      <c r="Q38" s="113">
        <f t="shared" si="3"/>
        <v>-0.31539733021479577</v>
      </c>
      <c r="R38" s="113">
        <f t="shared" ref="R38:R52" si="5">Q107</f>
        <v>0.89731484096608527</v>
      </c>
      <c r="S38" s="113">
        <f t="shared" si="4"/>
        <v>-1.9255565376797037</v>
      </c>
      <c r="U38" s="187"/>
    </row>
    <row r="39" spans="1:29" x14ac:dyDescent="0.25">
      <c r="A39" s="80">
        <v>4</v>
      </c>
      <c r="B39" s="70">
        <f>Коэффициенты!D23</f>
        <v>30.5</v>
      </c>
      <c r="C39" s="70">
        <f>Коэффициенты!B23</f>
        <v>2500</v>
      </c>
      <c r="D39" s="70">
        <f>Коэффициенты!C23</f>
        <v>43</v>
      </c>
      <c r="F39" s="177"/>
      <c r="Q39" s="113">
        <f t="shared" si="3"/>
        <v>0.13870653998335875</v>
      </c>
      <c r="R39" s="113">
        <f t="shared" si="5"/>
        <v>-2.265450935398869</v>
      </c>
      <c r="S39" s="113">
        <f t="shared" si="4"/>
        <v>-1.386480825320751</v>
      </c>
      <c r="U39" s="187"/>
    </row>
    <row r="40" spans="1:29" x14ac:dyDescent="0.25">
      <c r="A40" s="80">
        <v>5</v>
      </c>
      <c r="B40" s="70">
        <f>Коэффициенты!D24</f>
        <v>63.5</v>
      </c>
      <c r="C40" s="70">
        <f>Коэффициенты!B24</f>
        <v>2500</v>
      </c>
      <c r="D40" s="70">
        <f>Коэффициенты!C24</f>
        <v>58</v>
      </c>
      <c r="F40" s="177"/>
      <c r="Q40" s="113">
        <f t="shared" si="3"/>
        <v>-0.35327169986041507</v>
      </c>
      <c r="R40" s="113">
        <f t="shared" si="5"/>
        <v>0.78284025847178795</v>
      </c>
      <c r="S40" s="113">
        <f t="shared" si="4"/>
        <v>-1.7926409611283649</v>
      </c>
      <c r="U40" s="187"/>
    </row>
    <row r="41" spans="1:29" x14ac:dyDescent="0.25">
      <c r="A41" s="80">
        <v>6</v>
      </c>
      <c r="B41" s="70">
        <f>Коэффициенты!D25</f>
        <v>65</v>
      </c>
      <c r="C41" s="70">
        <f>Коэффициенты!B25</f>
        <v>2500</v>
      </c>
      <c r="D41" s="70">
        <f>Коэффициенты!C25</f>
        <v>59</v>
      </c>
      <c r="F41" s="177"/>
      <c r="Q41" s="113">
        <f t="shared" si="3"/>
        <v>-0.35389243558910144</v>
      </c>
      <c r="R41" s="113">
        <f t="shared" si="5"/>
        <v>0.95924144688767554</v>
      </c>
      <c r="S41" s="113">
        <f t="shared" si="4"/>
        <v>-1.7971398517728807</v>
      </c>
      <c r="U41" s="187"/>
    </row>
    <row r="42" spans="1:29" x14ac:dyDescent="0.25">
      <c r="A42" s="80">
        <v>7</v>
      </c>
      <c r="B42" s="70">
        <f>Коэффициенты!D26</f>
        <v>44</v>
      </c>
      <c r="C42" s="70">
        <f>Коэффициенты!B26</f>
        <v>2700</v>
      </c>
      <c r="D42" s="70">
        <f>Коэффициенты!C26</f>
        <v>52.5</v>
      </c>
      <c r="F42" s="177"/>
      <c r="Q42" s="113">
        <f t="shared" si="3"/>
        <v>-0.12335808603189974</v>
      </c>
      <c r="R42" s="113">
        <f t="shared" si="5"/>
        <v>-0.60853416267213412</v>
      </c>
      <c r="S42" s="113">
        <f t="shared" si="4"/>
        <v>-0.97912935641444432</v>
      </c>
      <c r="U42" s="187"/>
    </row>
    <row r="43" spans="1:29" x14ac:dyDescent="0.25">
      <c r="A43" s="80">
        <v>8</v>
      </c>
      <c r="B43" s="70">
        <f>Коэффициенты!D27</f>
        <v>52</v>
      </c>
      <c r="C43" s="70">
        <f>Коэффициенты!B27</f>
        <v>2700</v>
      </c>
      <c r="D43" s="70">
        <f>Коэффициенты!C27</f>
        <v>65.5</v>
      </c>
      <c r="F43" s="177"/>
      <c r="Q43" s="113">
        <f t="shared" si="3"/>
        <v>0.39720785854326957</v>
      </c>
      <c r="R43" s="113">
        <f t="shared" si="5"/>
        <v>1.2440961698037443</v>
      </c>
      <c r="S43" s="113">
        <f t="shared" si="4"/>
        <v>-0.66668322759233467</v>
      </c>
      <c r="U43" s="187"/>
    </row>
    <row r="44" spans="1:29" x14ac:dyDescent="0.25">
      <c r="A44" s="80">
        <v>9</v>
      </c>
      <c r="B44" s="70">
        <f>Коэффициенты!D28</f>
        <v>54.5</v>
      </c>
      <c r="C44" s="70">
        <f>Коэффициенты!B28</f>
        <v>2700</v>
      </c>
      <c r="D44" s="70">
        <f>Коэффициенты!C28</f>
        <v>68</v>
      </c>
      <c r="F44" s="177"/>
      <c r="Q44" s="113">
        <f t="shared" si="3"/>
        <v>0.45311640063982428</v>
      </c>
      <c r="R44" s="113">
        <f t="shared" si="5"/>
        <v>1.6372094542205655</v>
      </c>
      <c r="S44" s="113">
        <f t="shared" si="4"/>
        <v>-0.63761179037744864</v>
      </c>
      <c r="U44" s="187"/>
    </row>
    <row r="45" spans="1:29" x14ac:dyDescent="0.25">
      <c r="A45" s="80">
        <v>10</v>
      </c>
      <c r="B45" s="70">
        <f>Коэффициенты!D29</f>
        <v>30</v>
      </c>
      <c r="C45" s="70">
        <f>Коэффициенты!B29</f>
        <v>2750</v>
      </c>
      <c r="D45" s="70">
        <f>Коэффициенты!C29</f>
        <v>45</v>
      </c>
      <c r="F45" s="177"/>
      <c r="Q45" s="113">
        <f t="shared" si="3"/>
        <v>-6.4950695307479989E-2</v>
      </c>
      <c r="R45" s="113">
        <f t="shared" si="5"/>
        <v>-2.0344405626742819</v>
      </c>
      <c r="S45" s="113">
        <f t="shared" si="4"/>
        <v>-0.75021168322961318</v>
      </c>
      <c r="U45" s="187"/>
    </row>
    <row r="46" spans="1:29" x14ac:dyDescent="0.25">
      <c r="A46" s="80">
        <v>11</v>
      </c>
      <c r="B46" s="70">
        <f>Коэффициенты!D30</f>
        <v>26</v>
      </c>
      <c r="C46" s="70">
        <f>Коэффициенты!B30</f>
        <v>2775</v>
      </c>
      <c r="D46" s="70">
        <f>Коэффициенты!C30</f>
        <v>45.5</v>
      </c>
      <c r="F46" s="177"/>
      <c r="Q46" s="113">
        <f t="shared" si="3"/>
        <v>0.11675790303714439</v>
      </c>
      <c r="R46" s="113">
        <f t="shared" si="5"/>
        <v>-2.1269908657896575</v>
      </c>
      <c r="S46" s="113">
        <f t="shared" si="4"/>
        <v>-0.54601273954571594</v>
      </c>
      <c r="U46" s="187"/>
    </row>
    <row r="47" spans="1:29" x14ac:dyDescent="0.25">
      <c r="A47" s="80">
        <v>12</v>
      </c>
      <c r="B47" s="70">
        <f>Коэффициенты!D31</f>
        <v>23</v>
      </c>
      <c r="C47" s="70">
        <f>Коэффициенты!B31</f>
        <v>2800</v>
      </c>
      <c r="D47" s="70">
        <f>Коэффициенты!C31</f>
        <v>48</v>
      </c>
      <c r="F47" s="177"/>
      <c r="N47" s="81" t="s">
        <v>86</v>
      </c>
      <c r="Q47" s="113">
        <f t="shared" si="3"/>
        <v>0.3891616401936292</v>
      </c>
      <c r="R47" s="113">
        <f t="shared" si="5"/>
        <v>-1.9433622906698944</v>
      </c>
      <c r="S47" s="113">
        <f t="shared" si="4"/>
        <v>-0.28630171502896895</v>
      </c>
      <c r="U47" s="189"/>
      <c r="AC47" s="81" t="s">
        <v>86</v>
      </c>
    </row>
    <row r="48" spans="1:29" x14ac:dyDescent="0.25">
      <c r="A48" s="80">
        <v>13</v>
      </c>
      <c r="B48" s="70">
        <f>Коэффициенты!D32</f>
        <v>54</v>
      </c>
      <c r="C48" s="70">
        <f>Коэффициенты!B32</f>
        <v>2800</v>
      </c>
      <c r="D48" s="70">
        <f>Коэффициенты!C32</f>
        <v>63</v>
      </c>
      <c r="G48" s="82" t="str">
        <f>D35</f>
        <v>X2 (Температура)</v>
      </c>
      <c r="H48" s="82"/>
      <c r="I48" s="82"/>
      <c r="J48" s="82"/>
      <c r="K48" s="82" t="str">
        <f>C35</f>
        <v>X1 (Концентрация)</v>
      </c>
      <c r="L48" s="82"/>
      <c r="M48" s="82"/>
      <c r="N48" s="82"/>
      <c r="Q48" s="113">
        <f t="shared" si="3"/>
        <v>-1.0879989380911059E-2</v>
      </c>
      <c r="R48" s="113">
        <f t="shared" si="5"/>
        <v>1.0283054046041262</v>
      </c>
      <c r="S48" s="113">
        <f t="shared" si="4"/>
        <v>-0.62795198871470204</v>
      </c>
      <c r="V48" s="82" t="str">
        <f>S35</f>
        <v>X2 (Температура)</v>
      </c>
      <c r="W48" s="82"/>
      <c r="X48" s="82"/>
      <c r="Y48" s="82"/>
      <c r="Z48" s="82" t="str">
        <f>R35</f>
        <v>X1 (Концентрация)</v>
      </c>
      <c r="AA48" s="82"/>
      <c r="AB48" s="82"/>
      <c r="AC48" s="82"/>
    </row>
    <row r="49" spans="1:30" ht="15" customHeight="1" x14ac:dyDescent="0.25">
      <c r="A49" s="80">
        <v>14</v>
      </c>
      <c r="B49" s="70">
        <f>Коэффициенты!D33</f>
        <v>36</v>
      </c>
      <c r="C49" s="70">
        <f>Коэффициенты!B33</f>
        <v>2900</v>
      </c>
      <c r="D49" s="70">
        <f>Коэффициенты!C33</f>
        <v>58.5</v>
      </c>
      <c r="F49" s="177" t="str">
        <f>B35</f>
        <v>Y (Прочность)</v>
      </c>
      <c r="O49" s="187" t="str">
        <f>D35</f>
        <v>X2 (Температура)</v>
      </c>
      <c r="Q49" s="113">
        <f t="shared" si="3"/>
        <v>0.36373482144076763</v>
      </c>
      <c r="R49" s="113">
        <f t="shared" si="5"/>
        <v>-0.19158747549867905</v>
      </c>
      <c r="S49" s="113">
        <f t="shared" si="4"/>
        <v>-3.1889140512048247E-2</v>
      </c>
      <c r="U49" s="187" t="str">
        <f>Q35</f>
        <v>Y (Прочность)</v>
      </c>
      <c r="AD49" s="188" t="str">
        <f>S35</f>
        <v>X2 (Температура)</v>
      </c>
    </row>
    <row r="50" spans="1:30" ht="15" customHeight="1" x14ac:dyDescent="0.25">
      <c r="A50" s="80">
        <v>15</v>
      </c>
      <c r="B50" s="70">
        <f>Коэффициенты!D34</f>
        <v>53.5</v>
      </c>
      <c r="C50" s="70">
        <f>Коэффициенты!B34</f>
        <v>2900</v>
      </c>
      <c r="D50" s="70">
        <f>Коэффициенты!C34</f>
        <v>64.5</v>
      </c>
      <c r="F50" s="177"/>
      <c r="O50" s="187"/>
      <c r="Q50" s="113">
        <f t="shared" si="3"/>
        <v>-3.0720186575594277E-2</v>
      </c>
      <c r="R50" s="113">
        <f t="shared" si="5"/>
        <v>1.1924695240323528</v>
      </c>
      <c r="S50" s="113">
        <f t="shared" si="4"/>
        <v>-0.33304939839713832</v>
      </c>
      <c r="U50" s="187"/>
      <c r="AD50" s="187"/>
    </row>
    <row r="51" spans="1:30" x14ac:dyDescent="0.25">
      <c r="A51" s="80">
        <v>16</v>
      </c>
      <c r="B51" s="70">
        <f>Коэффициенты!D35</f>
        <v>57</v>
      </c>
      <c r="C51" s="70">
        <f>Коэффициенты!B35</f>
        <v>3000</v>
      </c>
      <c r="D51" s="70">
        <f>Коэффициенты!C35</f>
        <v>66</v>
      </c>
      <c r="F51" s="177"/>
      <c r="O51" s="187"/>
      <c r="Q51" s="113">
        <f t="shared" si="3"/>
        <v>-0.23443360430874505</v>
      </c>
      <c r="R51" s="113">
        <f t="shared" si="5"/>
        <v>1.5098806406538525</v>
      </c>
      <c r="S51" s="113">
        <f t="shared" si="4"/>
        <v>-0.16716653232333678</v>
      </c>
      <c r="U51" s="187"/>
      <c r="AD51" s="187"/>
    </row>
    <row r="52" spans="1:30" x14ac:dyDescent="0.25">
      <c r="A52" s="80">
        <v>17</v>
      </c>
      <c r="B52" s="70">
        <f>Коэффициенты!D36</f>
        <v>33.5</v>
      </c>
      <c r="C52" s="70">
        <f>Коэффициенты!B36</f>
        <v>3075</v>
      </c>
      <c r="D52" s="70">
        <f>Коэффициенты!C36</f>
        <v>57</v>
      </c>
      <c r="F52" s="177"/>
      <c r="O52" s="187"/>
      <c r="Q52" s="113">
        <f t="shared" si="3"/>
        <v>0.12184461905421426</v>
      </c>
      <c r="R52" s="113">
        <f t="shared" si="5"/>
        <v>-0.45715781254124155</v>
      </c>
      <c r="S52" s="113">
        <f t="shared" si="4"/>
        <v>0.35558519348677498</v>
      </c>
      <c r="U52" s="187"/>
      <c r="AD52" s="187"/>
    </row>
    <row r="53" spans="1:30" x14ac:dyDescent="0.25">
      <c r="A53" s="80">
        <v>18</v>
      </c>
      <c r="B53" s="70">
        <f>Коэффициенты!D37</f>
        <v>34</v>
      </c>
      <c r="C53" s="70">
        <f>Коэффициенты!B37</f>
        <v>3100</v>
      </c>
      <c r="D53" s="70">
        <f>Коэффициенты!C37</f>
        <v>57.5</v>
      </c>
      <c r="F53" s="177"/>
      <c r="O53" s="187"/>
      <c r="Q53" s="113">
        <f t="shared" si="3"/>
        <v>9.6695844293062772E-2</v>
      </c>
      <c r="R53" s="113">
        <f t="shared" ref="R53:S66" si="6">Q122</f>
        <v>-0.37730524381418473</v>
      </c>
      <c r="S53" s="113">
        <f t="shared" si="6"/>
        <v>0.41463694739643997</v>
      </c>
      <c r="U53" s="187"/>
      <c r="AD53" s="187"/>
    </row>
    <row r="54" spans="1:30" x14ac:dyDescent="0.25">
      <c r="A54" s="80">
        <v>19</v>
      </c>
      <c r="B54" s="70">
        <f>Коэффициенты!D38</f>
        <v>44</v>
      </c>
      <c r="C54" s="70">
        <f>Коэффициенты!B38</f>
        <v>3150</v>
      </c>
      <c r="D54" s="70">
        <f>Коэффициенты!C38</f>
        <v>64</v>
      </c>
      <c r="F54" s="177"/>
      <c r="O54" s="187"/>
      <c r="Q54" s="113">
        <f t="shared" si="3"/>
        <v>8.5080194120215336E-3</v>
      </c>
      <c r="R54" s="113">
        <f t="shared" ref="R54:R66" si="7">Q123</f>
        <v>0.78134024190104978</v>
      </c>
      <c r="S54" s="113">
        <f t="shared" si="6"/>
        <v>0.48380535837522715</v>
      </c>
      <c r="U54" s="187"/>
      <c r="AD54" s="187"/>
    </row>
    <row r="55" spans="1:30" x14ac:dyDescent="0.25">
      <c r="A55" s="80">
        <v>20</v>
      </c>
      <c r="B55" s="70">
        <f>Коэффициенты!D39</f>
        <v>33</v>
      </c>
      <c r="C55" s="70">
        <f>Коэффициенты!B39</f>
        <v>3200</v>
      </c>
      <c r="D55" s="70">
        <f>Коэффициенты!C39</f>
        <v>57</v>
      </c>
      <c r="F55" s="177"/>
      <c r="O55" s="187"/>
      <c r="Q55" s="113">
        <f t="shared" si="3"/>
        <v>-3.6823644280789658E-2</v>
      </c>
      <c r="R55" s="113">
        <f t="shared" si="7"/>
        <v>-0.47016412797193752</v>
      </c>
      <c r="S55" s="113">
        <f t="shared" si="6"/>
        <v>0.63789999135068398</v>
      </c>
      <c r="U55" s="187"/>
      <c r="AD55" s="187"/>
    </row>
    <row r="56" spans="1:30" x14ac:dyDescent="0.25">
      <c r="A56" s="80">
        <v>21</v>
      </c>
      <c r="B56" s="70">
        <f>Коэффициенты!D40</f>
        <v>39</v>
      </c>
      <c r="C56" s="70">
        <f>Коэффициенты!B40</f>
        <v>3200</v>
      </c>
      <c r="D56" s="70">
        <f>Коэффициенты!C40</f>
        <v>64</v>
      </c>
      <c r="F56" s="177"/>
      <c r="O56" s="187"/>
      <c r="Q56" s="113">
        <f t="shared" si="3"/>
        <v>0.16568857872418075</v>
      </c>
      <c r="R56" s="113">
        <f t="shared" si="7"/>
        <v>0.5922413190968433</v>
      </c>
      <c r="S56" s="113">
        <f t="shared" si="6"/>
        <v>0.75155494661330524</v>
      </c>
      <c r="U56" s="187"/>
      <c r="AD56" s="187"/>
    </row>
    <row r="57" spans="1:30" x14ac:dyDescent="0.25">
      <c r="A57" s="80">
        <v>22</v>
      </c>
      <c r="B57" s="70">
        <f>Коэффициенты!D41</f>
        <v>53</v>
      </c>
      <c r="C57" s="70">
        <f>Коэффициенты!B41</f>
        <v>3200</v>
      </c>
      <c r="D57" s="70">
        <f>Коэффициенты!C41</f>
        <v>69</v>
      </c>
      <c r="F57" s="177"/>
      <c r="O57" s="187"/>
      <c r="Q57" s="113">
        <f t="shared" si="3"/>
        <v>-0.13620908329426107</v>
      </c>
      <c r="R57" s="113">
        <f t="shared" si="7"/>
        <v>1.723273631615351</v>
      </c>
      <c r="S57" s="113">
        <f t="shared" si="6"/>
        <v>0.51940344149461226</v>
      </c>
      <c r="U57" s="187"/>
      <c r="AD57" s="187"/>
    </row>
    <row r="58" spans="1:30" x14ac:dyDescent="0.25">
      <c r="A58" s="80">
        <v>23</v>
      </c>
      <c r="B58" s="70">
        <f>Коэффициенты!D42</f>
        <v>38.5</v>
      </c>
      <c r="C58" s="70">
        <f>Коэффициенты!B42</f>
        <v>3225</v>
      </c>
      <c r="D58" s="70">
        <f>Коэффициенты!C42</f>
        <v>68</v>
      </c>
      <c r="F58" s="177"/>
      <c r="O58" s="187"/>
      <c r="Q58" s="113">
        <f t="shared" si="3"/>
        <v>0.42566913600398171</v>
      </c>
      <c r="R58" s="113">
        <f t="shared" si="7"/>
        <v>1.0500496141650173</v>
      </c>
      <c r="S58" s="113">
        <f t="shared" si="6"/>
        <v>0.99645390239804299</v>
      </c>
      <c r="U58" s="187"/>
      <c r="AD58" s="187"/>
    </row>
    <row r="59" spans="1:30" x14ac:dyDescent="0.25">
      <c r="A59" s="80">
        <v>24</v>
      </c>
      <c r="B59" s="70">
        <f>Коэффициенты!D43</f>
        <v>39.5</v>
      </c>
      <c r="C59" s="70">
        <f>Коэффициенты!B43</f>
        <v>3250</v>
      </c>
      <c r="D59" s="70">
        <f>Коэффициенты!C43</f>
        <v>62</v>
      </c>
      <c r="F59" s="177"/>
      <c r="O59" s="187"/>
      <c r="Q59" s="113">
        <f t="shared" si="3"/>
        <v>-6.6619984150530151E-2</v>
      </c>
      <c r="R59" s="113">
        <f t="shared" si="7"/>
        <v>0.37598988849656756</v>
      </c>
      <c r="S59" s="113">
        <f t="shared" si="6"/>
        <v>0.75413540212242058</v>
      </c>
      <c r="U59" s="187"/>
      <c r="AD59" s="187"/>
    </row>
    <row r="60" spans="1:30" x14ac:dyDescent="0.25">
      <c r="A60" s="80">
        <v>25</v>
      </c>
      <c r="B60" s="70">
        <f>Коэффициенты!D44</f>
        <v>36</v>
      </c>
      <c r="C60" s="70">
        <f>Коэффициенты!B44</f>
        <v>3250</v>
      </c>
      <c r="D60" s="70">
        <f>Коэффициенты!C44</f>
        <v>64.5</v>
      </c>
      <c r="F60" s="177"/>
      <c r="O60" s="187"/>
      <c r="Q60" s="113">
        <f t="shared" si="3"/>
        <v>0.26509838875372566</v>
      </c>
      <c r="R60" s="113">
        <f t="shared" si="7"/>
        <v>0.53923267712347867</v>
      </c>
      <c r="S60" s="113">
        <f t="shared" si="6"/>
        <v>0.97673642570294994</v>
      </c>
      <c r="U60" s="187"/>
      <c r="AD60" s="187"/>
    </row>
    <row r="61" spans="1:30" x14ac:dyDescent="0.25">
      <c r="A61" s="80">
        <v>26</v>
      </c>
      <c r="B61" s="70">
        <f>Коэффициенты!D45</f>
        <v>8.5</v>
      </c>
      <c r="C61" s="70">
        <f>Коэффициенты!B45</f>
        <v>3250</v>
      </c>
      <c r="D61" s="70">
        <f>Коэффициенты!C45</f>
        <v>48</v>
      </c>
      <c r="F61" s="177"/>
      <c r="O61" s="187"/>
      <c r="Q61" s="113">
        <f t="shared" si="3"/>
        <v>0.40175336739724909</v>
      </c>
      <c r="R61" s="113">
        <f t="shared" si="7"/>
        <v>-2.4767442423090431</v>
      </c>
      <c r="S61" s="113">
        <f t="shared" si="6"/>
        <v>1.1396691817550488</v>
      </c>
      <c r="U61" s="187"/>
      <c r="AD61" s="187"/>
    </row>
    <row r="62" spans="1:30" x14ac:dyDescent="0.25">
      <c r="A62" s="80">
        <v>27</v>
      </c>
      <c r="B62" s="70">
        <f>Коэффициенты!D46</f>
        <v>30</v>
      </c>
      <c r="C62" s="70">
        <f>Коэффициенты!B46</f>
        <v>3500</v>
      </c>
      <c r="D62" s="70">
        <f>Коэффициенты!C46</f>
        <v>60</v>
      </c>
      <c r="Q62" s="113">
        <f t="shared" si="3"/>
        <v>-0.12988936112277261</v>
      </c>
      <c r="R62" s="113">
        <f t="shared" si="7"/>
        <v>-0.2135397403373504</v>
      </c>
      <c r="S62" s="113">
        <f t="shared" si="6"/>
        <v>1.5051648999744436</v>
      </c>
    </row>
    <row r="63" spans="1:30" x14ac:dyDescent="0.25">
      <c r="A63" s="80">
        <v>28</v>
      </c>
      <c r="B63" s="70">
        <f>Коэффициенты!D47</f>
        <v>29</v>
      </c>
      <c r="C63" s="70">
        <f>Коэффициенты!B47</f>
        <v>3500</v>
      </c>
      <c r="D63" s="70">
        <f>Коэффициенты!C47</f>
        <v>59</v>
      </c>
      <c r="Q63" s="113">
        <f t="shared" si="3"/>
        <v>-0.15225277796139447</v>
      </c>
      <c r="R63" s="113">
        <f t="shared" si="7"/>
        <v>-0.37078505410407891</v>
      </c>
      <c r="S63" s="113">
        <f t="shared" si="6"/>
        <v>1.4935363250884894</v>
      </c>
    </row>
    <row r="64" spans="1:30" x14ac:dyDescent="0.25">
      <c r="A64" s="80">
        <v>29</v>
      </c>
      <c r="B64" s="70">
        <f>Коэффициенты!D48</f>
        <v>26.5</v>
      </c>
      <c r="C64" s="70">
        <f>Коэффициенты!B48</f>
        <v>3500</v>
      </c>
      <c r="D64" s="70">
        <f>Коэффициенты!C48</f>
        <v>58</v>
      </c>
      <c r="Q64" s="113">
        <f t="shared" si="3"/>
        <v>-0.10566373709809118</v>
      </c>
      <c r="R64" s="113">
        <f t="shared" si="7"/>
        <v>-0.58549799181828488</v>
      </c>
      <c r="S64" s="113">
        <f t="shared" si="6"/>
        <v>1.5302901467939458</v>
      </c>
    </row>
    <row r="65" spans="1:19" x14ac:dyDescent="0.25">
      <c r="A65" s="80">
        <v>30</v>
      </c>
      <c r="B65" s="70">
        <f>Коэффициенты!D49</f>
        <v>24.5</v>
      </c>
      <c r="C65" s="70">
        <f>Коэффициенты!B49</f>
        <v>3600</v>
      </c>
      <c r="D65" s="70">
        <f>Коэффициенты!C49</f>
        <v>58</v>
      </c>
      <c r="Q65" s="113">
        <f t="shared" si="3"/>
        <v>-0.15904905955070747</v>
      </c>
      <c r="R65" s="113">
        <f t="shared" si="7"/>
        <v>-0.65720184304015095</v>
      </c>
      <c r="S65" s="113">
        <f t="shared" si="6"/>
        <v>1.8077498747825778</v>
      </c>
    </row>
    <row r="66" spans="1:19" x14ac:dyDescent="0.25">
      <c r="A66" s="80">
        <v>31</v>
      </c>
      <c r="B66" s="70">
        <f>Коэффициенты!D50</f>
        <v>26.5</v>
      </c>
      <c r="C66" s="70">
        <f>Коэффициенты!B50</f>
        <v>3900</v>
      </c>
      <c r="D66" s="70">
        <f>Коэффициенты!C50</f>
        <v>61</v>
      </c>
      <c r="Q66" s="113">
        <f t="shared" si="3"/>
        <v>-0.48195630206577433</v>
      </c>
      <c r="R66" s="113">
        <f t="shared" si="7"/>
        <v>-0.20901870891397223</v>
      </c>
      <c r="S66" s="113">
        <f t="shared" si="6"/>
        <v>2.5137401281016345</v>
      </c>
    </row>
    <row r="68" spans="1:19" x14ac:dyDescent="0.25">
      <c r="C68" s="124"/>
      <c r="D68" s="68"/>
    </row>
    <row r="69" spans="1:19" ht="37.5" x14ac:dyDescent="0.25">
      <c r="A69" t="s">
        <v>194</v>
      </c>
      <c r="C69" s="124"/>
      <c r="D69" s="68"/>
      <c r="G69" s="106" t="s">
        <v>199</v>
      </c>
      <c r="H69" s="107"/>
      <c r="I69" s="107"/>
      <c r="J69" s="107"/>
      <c r="K69" s="107"/>
      <c r="L69" s="107"/>
      <c r="M69" s="107"/>
      <c r="N69" s="108"/>
      <c r="Q69" t="s">
        <v>202</v>
      </c>
    </row>
    <row r="70" spans="1:19" ht="38.25" x14ac:dyDescent="0.25">
      <c r="A70" s="88" t="str">
        <f>A35</f>
        <v>№ наблюдения</v>
      </c>
      <c r="B70" s="88" t="str">
        <f>B35</f>
        <v>Y (Прочность)</v>
      </c>
      <c r="C70" s="88" t="str">
        <f>C35</f>
        <v>X1 (Концентрация)</v>
      </c>
      <c r="D70" s="88" t="str">
        <f>D35</f>
        <v>X2 (Температура)</v>
      </c>
      <c r="G70" s="76" t="str">
        <f>C70</f>
        <v>X1 (Концентрация)</v>
      </c>
      <c r="H70" s="76"/>
      <c r="I70" s="76"/>
      <c r="J70" s="76"/>
      <c r="Q70" s="88" t="s">
        <v>89</v>
      </c>
      <c r="R70" s="88" t="s">
        <v>68</v>
      </c>
      <c r="S70" s="88" t="s">
        <v>69</v>
      </c>
    </row>
    <row r="71" spans="1:19" x14ac:dyDescent="0.25">
      <c r="A71" s="67">
        <f>A36</f>
        <v>1</v>
      </c>
      <c r="B71" s="70">
        <f t="shared" ref="B71:D101" si="8">(B36-B$20)/B$21</f>
        <v>1.2927130093746126</v>
      </c>
      <c r="C71" s="70">
        <f t="shared" si="8"/>
        <v>-1.5242685055130696</v>
      </c>
      <c r="D71" s="70">
        <f t="shared" si="8"/>
        <v>-0.5714124104886793</v>
      </c>
      <c r="F71" s="177" t="str">
        <f>B70</f>
        <v>Y (Прочность)</v>
      </c>
      <c r="Q71" s="70">
        <f>C71</f>
        <v>-1.5242685055130696</v>
      </c>
      <c r="R71" s="70">
        <f>D71</f>
        <v>-0.5714124104886793</v>
      </c>
      <c r="S71" s="70">
        <f>B71-$C$28</f>
        <v>1.2927130093746124</v>
      </c>
    </row>
    <row r="72" spans="1:19" x14ac:dyDescent="0.25">
      <c r="A72" s="67">
        <f t="shared" ref="A72:A101" si="9">A37</f>
        <v>2</v>
      </c>
      <c r="B72" s="70">
        <f t="shared" si="8"/>
        <v>1.3606928283578408</v>
      </c>
      <c r="C72" s="70">
        <f t="shared" si="8"/>
        <v>-1.3953399279662615</v>
      </c>
      <c r="D72" s="70">
        <f t="shared" si="8"/>
        <v>-0.35539064554783717</v>
      </c>
      <c r="F72" s="177"/>
      <c r="Q72" s="70">
        <f t="shared" ref="Q72:Q101" si="10">C72</f>
        <v>-1.3953399279662615</v>
      </c>
      <c r="R72" s="70">
        <f t="shared" ref="R72:R101" si="11">D72</f>
        <v>-0.35539064554783717</v>
      </c>
      <c r="S72" s="70">
        <f t="shared" ref="S72:S101" si="12">B72-$C$28</f>
        <v>1.3606928283578406</v>
      </c>
    </row>
    <row r="73" spans="1:19" x14ac:dyDescent="0.25">
      <c r="A73" s="67">
        <f t="shared" si="9"/>
        <v>3</v>
      </c>
      <c r="B73" s="70">
        <f t="shared" si="8"/>
        <v>1.6326121042907533</v>
      </c>
      <c r="C73" s="70">
        <f t="shared" si="8"/>
        <v>-1.3953399279662615</v>
      </c>
      <c r="D73" s="70">
        <f t="shared" si="8"/>
        <v>4.6456293535663646E-3</v>
      </c>
      <c r="F73" s="177"/>
      <c r="Q73" s="70">
        <f t="shared" si="10"/>
        <v>-1.3953399279662615</v>
      </c>
      <c r="R73" s="70">
        <f t="shared" si="11"/>
        <v>4.6456293535663646E-3</v>
      </c>
      <c r="S73" s="70">
        <f t="shared" si="12"/>
        <v>1.6326121042907531</v>
      </c>
    </row>
    <row r="74" spans="1:19" x14ac:dyDescent="0.25">
      <c r="A74" s="67">
        <f t="shared" si="9"/>
        <v>4</v>
      </c>
      <c r="B74" s="70">
        <f t="shared" si="8"/>
        <v>-0.71269165063061768</v>
      </c>
      <c r="C74" s="70">
        <f t="shared" si="8"/>
        <v>-1.2664113504194534</v>
      </c>
      <c r="D74" s="70">
        <f t="shared" si="8"/>
        <v>-2.2275792750351355</v>
      </c>
      <c r="F74" s="177"/>
      <c r="Q74" s="70">
        <f t="shared" si="10"/>
        <v>-1.2664113504194534</v>
      </c>
      <c r="R74" s="70">
        <f t="shared" si="11"/>
        <v>-2.2275792750351355</v>
      </c>
      <c r="S74" s="70">
        <f t="shared" si="12"/>
        <v>-0.7126916506306179</v>
      </c>
    </row>
    <row r="75" spans="1:19" x14ac:dyDescent="0.25">
      <c r="A75" s="67">
        <f t="shared" si="9"/>
        <v>5</v>
      </c>
      <c r="B75" s="70">
        <f t="shared" si="8"/>
        <v>1.5306423758159111</v>
      </c>
      <c r="C75" s="70">
        <f t="shared" si="8"/>
        <v>-1.2664113504194534</v>
      </c>
      <c r="D75" s="70">
        <f t="shared" si="8"/>
        <v>-6.7361625626714342E-2</v>
      </c>
      <c r="F75" s="177"/>
      <c r="Q75" s="70">
        <f t="shared" si="10"/>
        <v>-1.2664113504194534</v>
      </c>
      <c r="R75" s="70">
        <f t="shared" si="11"/>
        <v>-6.7361625626714342E-2</v>
      </c>
      <c r="S75" s="70">
        <f t="shared" si="12"/>
        <v>1.5306423758159109</v>
      </c>
    </row>
    <row r="76" spans="1:19" x14ac:dyDescent="0.25">
      <c r="A76" s="67">
        <f t="shared" si="9"/>
        <v>6</v>
      </c>
      <c r="B76" s="70">
        <f t="shared" si="8"/>
        <v>1.6326121042907533</v>
      </c>
      <c r="C76" s="70">
        <f t="shared" si="8"/>
        <v>-1.2664113504194534</v>
      </c>
      <c r="D76" s="70">
        <f t="shared" si="8"/>
        <v>7.6652884333847066E-2</v>
      </c>
      <c r="F76" s="177"/>
      <c r="Q76" s="70">
        <f t="shared" si="10"/>
        <v>-1.2664113504194534</v>
      </c>
      <c r="R76" s="70">
        <f t="shared" si="11"/>
        <v>7.6652884333847066E-2</v>
      </c>
      <c r="S76" s="70">
        <f t="shared" si="12"/>
        <v>1.6326121042907531</v>
      </c>
    </row>
    <row r="77" spans="1:19" x14ac:dyDescent="0.25">
      <c r="A77" s="67">
        <f t="shared" si="9"/>
        <v>7</v>
      </c>
      <c r="B77" s="70">
        <f t="shared" si="8"/>
        <v>0.20503590564296229</v>
      </c>
      <c r="C77" s="70">
        <f t="shared" si="8"/>
        <v>-0.75069704023222106</v>
      </c>
      <c r="D77" s="70">
        <f t="shared" si="8"/>
        <v>-0.85944143040980203</v>
      </c>
      <c r="F77" s="177"/>
      <c r="Q77" s="70">
        <f t="shared" si="10"/>
        <v>-0.75069704023222106</v>
      </c>
      <c r="R77" s="70">
        <f t="shared" si="11"/>
        <v>-0.85944143040980203</v>
      </c>
      <c r="S77" s="70">
        <f t="shared" si="12"/>
        <v>0.20503590564296201</v>
      </c>
    </row>
    <row r="78" spans="1:19" x14ac:dyDescent="0.25">
      <c r="A78" s="67">
        <f t="shared" si="9"/>
        <v>8</v>
      </c>
      <c r="B78" s="70">
        <f t="shared" si="8"/>
        <v>0.74887445750878745</v>
      </c>
      <c r="C78" s="70">
        <f t="shared" si="8"/>
        <v>-0.75069704023222106</v>
      </c>
      <c r="D78" s="70">
        <f t="shared" si="8"/>
        <v>1.0127471990774961</v>
      </c>
      <c r="F78" s="177"/>
      <c r="Q78" s="70">
        <f t="shared" si="10"/>
        <v>-0.75069704023222106</v>
      </c>
      <c r="R78" s="70">
        <f t="shared" si="11"/>
        <v>1.0127471990774961</v>
      </c>
      <c r="S78" s="70">
        <f t="shared" si="12"/>
        <v>0.74887445750878723</v>
      </c>
    </row>
    <row r="79" spans="1:19" x14ac:dyDescent="0.25">
      <c r="A79" s="67">
        <f t="shared" si="9"/>
        <v>9</v>
      </c>
      <c r="B79" s="70">
        <f t="shared" si="8"/>
        <v>0.9188240049668579</v>
      </c>
      <c r="C79" s="70">
        <f t="shared" si="8"/>
        <v>-0.75069704023222106</v>
      </c>
      <c r="D79" s="70">
        <f t="shared" si="8"/>
        <v>1.3727834739788998</v>
      </c>
      <c r="F79" s="177"/>
      <c r="Q79" s="70">
        <f t="shared" si="10"/>
        <v>-0.75069704023222106</v>
      </c>
      <c r="R79" s="70">
        <f t="shared" si="11"/>
        <v>1.3727834739788998</v>
      </c>
      <c r="S79" s="70">
        <f t="shared" si="12"/>
        <v>0.91882400496685768</v>
      </c>
    </row>
    <row r="80" spans="1:19" x14ac:dyDescent="0.25">
      <c r="A80" s="67">
        <f t="shared" si="9"/>
        <v>10</v>
      </c>
      <c r="B80" s="70">
        <f t="shared" si="8"/>
        <v>-0.74668156012223175</v>
      </c>
      <c r="C80" s="70">
        <f t="shared" si="8"/>
        <v>-0.62176846268541297</v>
      </c>
      <c r="D80" s="70">
        <f t="shared" si="8"/>
        <v>-1.9395502551140127</v>
      </c>
      <c r="F80" s="177"/>
      <c r="Q80" s="70">
        <f t="shared" si="10"/>
        <v>-0.62176846268541297</v>
      </c>
      <c r="R80" s="70">
        <f t="shared" si="11"/>
        <v>-1.9395502551140127</v>
      </c>
      <c r="S80" s="70">
        <f t="shared" si="12"/>
        <v>-0.74668156012223197</v>
      </c>
    </row>
    <row r="81" spans="1:19" x14ac:dyDescent="0.25">
      <c r="A81" s="67">
        <f t="shared" si="9"/>
        <v>11</v>
      </c>
      <c r="B81" s="70">
        <f t="shared" si="8"/>
        <v>-1.0186008360551444</v>
      </c>
      <c r="C81" s="70">
        <f t="shared" si="8"/>
        <v>-0.55730417391200893</v>
      </c>
      <c r="D81" s="70">
        <f t="shared" si="8"/>
        <v>-1.8675430001337319</v>
      </c>
      <c r="F81" s="177"/>
      <c r="Q81" s="70">
        <f t="shared" si="10"/>
        <v>-0.55730417391200893</v>
      </c>
      <c r="R81" s="70">
        <f t="shared" si="11"/>
        <v>-1.8675430001337319</v>
      </c>
      <c r="S81" s="70">
        <f t="shared" si="12"/>
        <v>-1.0186008360551446</v>
      </c>
    </row>
    <row r="82" spans="1:19" x14ac:dyDescent="0.25">
      <c r="A82" s="67">
        <f t="shared" si="9"/>
        <v>12</v>
      </c>
      <c r="B82" s="70">
        <f t="shared" si="8"/>
        <v>-1.2225402930048288</v>
      </c>
      <c r="C82" s="70">
        <f t="shared" si="8"/>
        <v>-0.49283988513860483</v>
      </c>
      <c r="D82" s="70">
        <f t="shared" si="8"/>
        <v>-1.5075067252323284</v>
      </c>
      <c r="F82" s="177"/>
      <c r="Q82" s="70">
        <f t="shared" si="10"/>
        <v>-0.49283988513860483</v>
      </c>
      <c r="R82" s="70">
        <f t="shared" si="11"/>
        <v>-1.5075067252323284</v>
      </c>
      <c r="S82" s="70">
        <f t="shared" si="12"/>
        <v>-1.222540293004829</v>
      </c>
    </row>
    <row r="83" spans="1:19" x14ac:dyDescent="0.25">
      <c r="A83" s="67">
        <f t="shared" si="9"/>
        <v>13</v>
      </c>
      <c r="B83" s="70">
        <f t="shared" si="8"/>
        <v>0.88483409547524383</v>
      </c>
      <c r="C83" s="70">
        <f t="shared" si="8"/>
        <v>-0.49283988513860483</v>
      </c>
      <c r="D83" s="70">
        <f t="shared" si="8"/>
        <v>0.65271092417609267</v>
      </c>
      <c r="Q83" s="70">
        <f t="shared" si="10"/>
        <v>-0.49283988513860483</v>
      </c>
      <c r="R83" s="70">
        <f t="shared" si="11"/>
        <v>0.65271092417609267</v>
      </c>
      <c r="S83" s="70">
        <f t="shared" si="12"/>
        <v>0.88483409547524361</v>
      </c>
    </row>
    <row r="84" spans="1:19" x14ac:dyDescent="0.25">
      <c r="A84" s="67">
        <f t="shared" si="9"/>
        <v>14</v>
      </c>
      <c r="B84" s="70">
        <f t="shared" si="8"/>
        <v>-0.33880264622286288</v>
      </c>
      <c r="C84" s="70">
        <f t="shared" si="8"/>
        <v>-0.23498273004498865</v>
      </c>
      <c r="D84" s="70">
        <f t="shared" si="8"/>
        <v>4.6456293535663646E-3</v>
      </c>
      <c r="F84" s="177" t="str">
        <f>B70</f>
        <v>Y (Прочность)</v>
      </c>
      <c r="O84" s="187" t="str">
        <f>D70</f>
        <v>X2 (Температура)</v>
      </c>
      <c r="Q84" s="70">
        <f t="shared" si="10"/>
        <v>-0.23498273004498865</v>
      </c>
      <c r="R84" s="70">
        <f t="shared" si="11"/>
        <v>4.6456293535663646E-3</v>
      </c>
      <c r="S84" s="70">
        <f t="shared" si="12"/>
        <v>-0.33880264622286316</v>
      </c>
    </row>
    <row r="85" spans="1:19" x14ac:dyDescent="0.25">
      <c r="A85" s="67">
        <f t="shared" si="9"/>
        <v>15</v>
      </c>
      <c r="B85" s="70">
        <f t="shared" si="8"/>
        <v>0.85084418598362965</v>
      </c>
      <c r="C85" s="70">
        <f t="shared" si="8"/>
        <v>-0.23498273004498865</v>
      </c>
      <c r="D85" s="70">
        <f t="shared" si="8"/>
        <v>0.8687326891169348</v>
      </c>
      <c r="F85" s="177"/>
      <c r="O85" s="187"/>
      <c r="Q85" s="70">
        <f t="shared" si="10"/>
        <v>-0.23498273004498865</v>
      </c>
      <c r="R85" s="70">
        <f t="shared" si="11"/>
        <v>0.8687326891169348</v>
      </c>
      <c r="S85" s="70">
        <f t="shared" si="12"/>
        <v>0.85084418598362943</v>
      </c>
    </row>
    <row r="86" spans="1:19" x14ac:dyDescent="0.25">
      <c r="A86" s="67">
        <f t="shared" si="9"/>
        <v>16</v>
      </c>
      <c r="B86" s="70">
        <f t="shared" si="8"/>
        <v>1.0887735524249282</v>
      </c>
      <c r="C86" s="70">
        <f t="shared" si="8"/>
        <v>2.2874425048627547E-2</v>
      </c>
      <c r="D86" s="70">
        <f t="shared" si="8"/>
        <v>1.0847544540577769</v>
      </c>
      <c r="F86" s="177"/>
      <c r="O86" s="187"/>
      <c r="Q86" s="70">
        <f t="shared" si="10"/>
        <v>2.2874425048627547E-2</v>
      </c>
      <c r="R86" s="70">
        <f t="shared" si="11"/>
        <v>1.0847544540577769</v>
      </c>
      <c r="S86" s="70">
        <f t="shared" si="12"/>
        <v>1.088773552424928</v>
      </c>
    </row>
    <row r="87" spans="1:19" x14ac:dyDescent="0.25">
      <c r="A87" s="67">
        <f t="shared" si="9"/>
        <v>17</v>
      </c>
      <c r="B87" s="70">
        <f t="shared" si="8"/>
        <v>-0.50875219368093327</v>
      </c>
      <c r="C87" s="70">
        <f t="shared" si="8"/>
        <v>0.21626729136883968</v>
      </c>
      <c r="D87" s="70">
        <f t="shared" si="8"/>
        <v>-0.21137613558727575</v>
      </c>
      <c r="F87" s="177"/>
      <c r="O87" s="187"/>
      <c r="Q87" s="70">
        <f t="shared" si="10"/>
        <v>0.21626729136883968</v>
      </c>
      <c r="R87" s="70">
        <f t="shared" si="11"/>
        <v>-0.21137613558727575</v>
      </c>
      <c r="S87" s="70">
        <f t="shared" si="12"/>
        <v>-0.5087521936809335</v>
      </c>
    </row>
    <row r="88" spans="1:19" x14ac:dyDescent="0.25">
      <c r="A88" s="67">
        <f t="shared" si="9"/>
        <v>18</v>
      </c>
      <c r="B88" s="70">
        <f t="shared" si="8"/>
        <v>-0.47476228418931921</v>
      </c>
      <c r="C88" s="70">
        <f t="shared" si="8"/>
        <v>0.28073158014224375</v>
      </c>
      <c r="D88" s="70">
        <f t="shared" si="8"/>
        <v>-0.13936888060699504</v>
      </c>
      <c r="F88" s="177"/>
      <c r="O88" s="187"/>
      <c r="Q88" s="70">
        <f t="shared" si="10"/>
        <v>0.28073158014224375</v>
      </c>
      <c r="R88" s="70">
        <f t="shared" si="11"/>
        <v>-0.13936888060699504</v>
      </c>
      <c r="S88" s="70">
        <f t="shared" si="12"/>
        <v>-0.47476228418931948</v>
      </c>
    </row>
    <row r="89" spans="1:19" x14ac:dyDescent="0.25">
      <c r="A89" s="67">
        <f t="shared" si="9"/>
        <v>19</v>
      </c>
      <c r="B89" s="70">
        <f t="shared" si="8"/>
        <v>0.20503590564296229</v>
      </c>
      <c r="C89" s="70">
        <f t="shared" si="8"/>
        <v>0.40966015768905184</v>
      </c>
      <c r="D89" s="70">
        <f t="shared" si="8"/>
        <v>0.79672543413665409</v>
      </c>
      <c r="F89" s="177"/>
      <c r="O89" s="187"/>
      <c r="Q89" s="70">
        <f t="shared" si="10"/>
        <v>0.40966015768905184</v>
      </c>
      <c r="R89" s="70">
        <f t="shared" si="11"/>
        <v>0.79672543413665409</v>
      </c>
      <c r="S89" s="70">
        <f t="shared" si="12"/>
        <v>0.20503590564296201</v>
      </c>
    </row>
    <row r="90" spans="1:19" x14ac:dyDescent="0.25">
      <c r="A90" s="67">
        <f t="shared" si="9"/>
        <v>20</v>
      </c>
      <c r="B90" s="70">
        <f t="shared" si="8"/>
        <v>-0.54274210317254734</v>
      </c>
      <c r="C90" s="70">
        <f t="shared" si="8"/>
        <v>0.53858873523585993</v>
      </c>
      <c r="D90" s="70">
        <f t="shared" si="8"/>
        <v>-0.21137613558727575</v>
      </c>
      <c r="F90" s="177"/>
      <c r="O90" s="187"/>
      <c r="Q90" s="70">
        <f t="shared" si="10"/>
        <v>0.53858873523585993</v>
      </c>
      <c r="R90" s="70">
        <f t="shared" si="11"/>
        <v>-0.21137613558727575</v>
      </c>
      <c r="S90" s="70">
        <f t="shared" si="12"/>
        <v>-0.54274210317254756</v>
      </c>
    </row>
    <row r="91" spans="1:19" x14ac:dyDescent="0.25">
      <c r="A91" s="67">
        <f t="shared" si="9"/>
        <v>21</v>
      </c>
      <c r="B91" s="70">
        <f t="shared" si="8"/>
        <v>-0.13486318927317845</v>
      </c>
      <c r="C91" s="70">
        <f t="shared" si="8"/>
        <v>0.53858873523585993</v>
      </c>
      <c r="D91" s="70">
        <f t="shared" si="8"/>
        <v>0.79672543413665409</v>
      </c>
      <c r="F91" s="177"/>
      <c r="O91" s="187"/>
      <c r="Q91" s="70">
        <f t="shared" si="10"/>
        <v>0.53858873523585993</v>
      </c>
      <c r="R91" s="70">
        <f t="shared" si="11"/>
        <v>0.79672543413665409</v>
      </c>
      <c r="S91" s="70">
        <f t="shared" si="12"/>
        <v>-0.13486318927317872</v>
      </c>
    </row>
    <row r="92" spans="1:19" x14ac:dyDescent="0.25">
      <c r="A92" s="67">
        <f t="shared" si="9"/>
        <v>22</v>
      </c>
      <c r="B92" s="70">
        <f t="shared" si="8"/>
        <v>0.81685427649201559</v>
      </c>
      <c r="C92" s="70">
        <f t="shared" si="8"/>
        <v>0.53858873523585993</v>
      </c>
      <c r="D92" s="70">
        <f t="shared" si="8"/>
        <v>1.5167979839394612</v>
      </c>
      <c r="F92" s="177"/>
      <c r="O92" s="187"/>
      <c r="Q92" s="70">
        <f t="shared" si="10"/>
        <v>0.53858873523585993</v>
      </c>
      <c r="R92" s="70">
        <f t="shared" si="11"/>
        <v>1.5167979839394612</v>
      </c>
      <c r="S92" s="70">
        <f t="shared" si="12"/>
        <v>0.81685427649201536</v>
      </c>
    </row>
    <row r="93" spans="1:19" x14ac:dyDescent="0.25">
      <c r="A93" s="67">
        <f t="shared" si="9"/>
        <v>23</v>
      </c>
      <c r="B93" s="70">
        <f t="shared" si="8"/>
        <v>-0.16885309876479254</v>
      </c>
      <c r="C93" s="70">
        <f t="shared" si="8"/>
        <v>0.60305302400926397</v>
      </c>
      <c r="D93" s="70">
        <f t="shared" si="8"/>
        <v>1.3727834739788998</v>
      </c>
      <c r="F93" s="177"/>
      <c r="O93" s="187"/>
      <c r="Q93" s="70">
        <f t="shared" si="10"/>
        <v>0.60305302400926397</v>
      </c>
      <c r="R93" s="70">
        <f t="shared" si="11"/>
        <v>1.3727834739788998</v>
      </c>
      <c r="S93" s="70">
        <f t="shared" si="12"/>
        <v>-0.16885309876479282</v>
      </c>
    </row>
    <row r="94" spans="1:19" x14ac:dyDescent="0.25">
      <c r="A94" s="67">
        <f t="shared" si="9"/>
        <v>24</v>
      </c>
      <c r="B94" s="70">
        <f t="shared" si="8"/>
        <v>-0.10087327978156438</v>
      </c>
      <c r="C94" s="70">
        <f t="shared" si="8"/>
        <v>0.66751731278266802</v>
      </c>
      <c r="D94" s="70">
        <f t="shared" si="8"/>
        <v>0.50869641421553125</v>
      </c>
      <c r="F94" s="177"/>
      <c r="O94" s="187"/>
      <c r="Q94" s="70">
        <f t="shared" si="10"/>
        <v>0.66751731278266802</v>
      </c>
      <c r="R94" s="70">
        <f t="shared" si="11"/>
        <v>0.50869641421553125</v>
      </c>
      <c r="S94" s="70">
        <f t="shared" si="12"/>
        <v>-0.10087327978156464</v>
      </c>
    </row>
    <row r="95" spans="1:19" x14ac:dyDescent="0.25">
      <c r="A95" s="67">
        <f t="shared" si="9"/>
        <v>25</v>
      </c>
      <c r="B95" s="70">
        <f t="shared" si="8"/>
        <v>-0.33880264622286288</v>
      </c>
      <c r="C95" s="70">
        <f t="shared" si="8"/>
        <v>0.66751731278266802</v>
      </c>
      <c r="D95" s="70">
        <f t="shared" si="8"/>
        <v>0.8687326891169348</v>
      </c>
      <c r="F95" s="177"/>
      <c r="O95" s="187"/>
      <c r="Q95" s="70">
        <f t="shared" si="10"/>
        <v>0.66751731278266802</v>
      </c>
      <c r="R95" s="70">
        <f t="shared" si="11"/>
        <v>0.8687326891169348</v>
      </c>
      <c r="S95" s="70">
        <f t="shared" si="12"/>
        <v>-0.33880264622286316</v>
      </c>
    </row>
    <row r="96" spans="1:19" x14ac:dyDescent="0.25">
      <c r="A96" s="67">
        <f t="shared" si="9"/>
        <v>26</v>
      </c>
      <c r="B96" s="70">
        <f t="shared" si="8"/>
        <v>-2.2082476682616372</v>
      </c>
      <c r="C96" s="70">
        <f t="shared" si="8"/>
        <v>0.66751731278266802</v>
      </c>
      <c r="D96" s="70">
        <f t="shared" si="8"/>
        <v>-1.5075067252323284</v>
      </c>
      <c r="F96" s="177"/>
      <c r="O96" s="187"/>
      <c r="Q96" s="70">
        <f t="shared" si="10"/>
        <v>0.66751731278266802</v>
      </c>
      <c r="R96" s="70">
        <f t="shared" si="11"/>
        <v>-1.5075067252323284</v>
      </c>
      <c r="S96" s="70">
        <f t="shared" si="12"/>
        <v>-2.2082476682616377</v>
      </c>
    </row>
    <row r="97" spans="1:19" x14ac:dyDescent="0.25">
      <c r="A97" s="67">
        <f t="shared" si="9"/>
        <v>27</v>
      </c>
      <c r="B97" s="70">
        <f t="shared" si="8"/>
        <v>-0.74668156012223175</v>
      </c>
      <c r="C97" s="70">
        <f t="shared" si="8"/>
        <v>1.3121602005167086</v>
      </c>
      <c r="D97" s="70">
        <f t="shared" si="8"/>
        <v>0.22066739429440849</v>
      </c>
      <c r="Q97" s="70">
        <f t="shared" si="10"/>
        <v>1.3121602005167086</v>
      </c>
      <c r="R97" s="70">
        <f t="shared" si="11"/>
        <v>0.22066739429440849</v>
      </c>
      <c r="S97" s="70">
        <f t="shared" si="12"/>
        <v>-0.74668156012223197</v>
      </c>
    </row>
    <row r="98" spans="1:19" x14ac:dyDescent="0.25">
      <c r="A98" s="67">
        <f t="shared" si="9"/>
        <v>28</v>
      </c>
      <c r="B98" s="70">
        <f t="shared" si="8"/>
        <v>-0.81466137910545999</v>
      </c>
      <c r="C98" s="70">
        <f t="shared" si="8"/>
        <v>1.3121602005167086</v>
      </c>
      <c r="D98" s="70">
        <f t="shared" si="8"/>
        <v>7.6652884333847066E-2</v>
      </c>
      <c r="Q98" s="70">
        <f t="shared" si="10"/>
        <v>1.3121602005167086</v>
      </c>
      <c r="R98" s="70">
        <f t="shared" si="11"/>
        <v>7.6652884333847066E-2</v>
      </c>
      <c r="S98" s="70">
        <f t="shared" si="12"/>
        <v>-0.81466137910546021</v>
      </c>
    </row>
    <row r="99" spans="1:19" x14ac:dyDescent="0.25">
      <c r="A99" s="67">
        <f t="shared" si="9"/>
        <v>29</v>
      </c>
      <c r="B99" s="70">
        <f t="shared" si="8"/>
        <v>-0.98461092656353033</v>
      </c>
      <c r="C99" s="70">
        <f t="shared" si="8"/>
        <v>1.3121602005167086</v>
      </c>
      <c r="D99" s="70">
        <f t="shared" si="8"/>
        <v>-6.7361625626714342E-2</v>
      </c>
      <c r="Q99" s="70">
        <f t="shared" si="10"/>
        <v>1.3121602005167086</v>
      </c>
      <c r="R99" s="70">
        <f t="shared" si="11"/>
        <v>-6.7361625626714342E-2</v>
      </c>
      <c r="S99" s="70">
        <f t="shared" si="12"/>
        <v>-0.98461092656353055</v>
      </c>
    </row>
    <row r="100" spans="1:19" x14ac:dyDescent="0.25">
      <c r="A100" s="67">
        <f t="shared" si="9"/>
        <v>30</v>
      </c>
      <c r="B100" s="70">
        <f t="shared" si="8"/>
        <v>-1.1205705645299866</v>
      </c>
      <c r="C100" s="70">
        <f t="shared" si="8"/>
        <v>1.5700173556103247</v>
      </c>
      <c r="D100" s="70">
        <f t="shared" si="8"/>
        <v>-6.7361625626714342E-2</v>
      </c>
      <c r="Q100" s="70">
        <f t="shared" si="10"/>
        <v>1.5700173556103247</v>
      </c>
      <c r="R100" s="70">
        <f t="shared" si="11"/>
        <v>-6.7361625626714342E-2</v>
      </c>
      <c r="S100" s="70">
        <f t="shared" si="12"/>
        <v>-1.1205705645299868</v>
      </c>
    </row>
    <row r="101" spans="1:19" x14ac:dyDescent="0.25">
      <c r="A101" s="67">
        <f t="shared" si="9"/>
        <v>31</v>
      </c>
      <c r="B101" s="70">
        <f t="shared" si="8"/>
        <v>-0.98461092656353033</v>
      </c>
      <c r="C101" s="70">
        <f t="shared" si="8"/>
        <v>2.3435888208911733</v>
      </c>
      <c r="D101" s="70">
        <f t="shared" si="8"/>
        <v>0.36468190425496988</v>
      </c>
      <c r="Q101" s="70">
        <f t="shared" si="10"/>
        <v>2.3435888208911733</v>
      </c>
      <c r="R101" s="70">
        <f t="shared" si="11"/>
        <v>0.36468190425496988</v>
      </c>
      <c r="S101" s="70">
        <f t="shared" si="12"/>
        <v>-0.98461092656353055</v>
      </c>
    </row>
    <row r="103" spans="1:19" x14ac:dyDescent="0.25">
      <c r="Q103" t="s">
        <v>134</v>
      </c>
    </row>
    <row r="104" spans="1:19" ht="38.25" x14ac:dyDescent="0.25">
      <c r="Q104" s="88" t="s">
        <v>89</v>
      </c>
      <c r="R104" s="88" t="s">
        <v>68</v>
      </c>
      <c r="S104" s="88" t="s">
        <v>69</v>
      </c>
    </row>
    <row r="105" spans="1:19" x14ac:dyDescent="0.25">
      <c r="P105">
        <v>1</v>
      </c>
      <c r="Q105" s="70">
        <f t="array" ref="Q105:S105">TRANSPOSE(MMULT($Q$24:$S$26,TRANSPOSE(Q71:S71)))</f>
        <v>0.22756201291346778</v>
      </c>
      <c r="R105" s="70">
        <v>-2.0462908390959567</v>
      </c>
      <c r="S105" s="70">
        <v>-0.28622172607374197</v>
      </c>
    </row>
    <row r="106" spans="1:19" x14ac:dyDescent="0.25">
      <c r="P106">
        <v>2</v>
      </c>
      <c r="Q106" s="70">
        <f t="array" ref="Q106:S106">TRANSPOSE(MMULT($Q$24:$S$26,TRANSPOSE(Q72:S72)))</f>
        <v>0.44673393260178662</v>
      </c>
      <c r="R106" s="70">
        <v>-1.9062455783031789</v>
      </c>
      <c r="S106" s="70">
        <v>-0.30235341460942544</v>
      </c>
    </row>
    <row r="107" spans="1:19" x14ac:dyDescent="0.25">
      <c r="P107">
        <v>3</v>
      </c>
      <c r="Q107" s="70">
        <f t="array" ref="Q107:S107">TRANSPOSE(MMULT($Q$24:$S$26,TRANSPOSE(Q73:S73)))</f>
        <v>0.89731484096608527</v>
      </c>
      <c r="R107" s="70">
        <v>-1.9255565376797037</v>
      </c>
      <c r="S107" s="70">
        <v>-0.31539733021479577</v>
      </c>
    </row>
    <row r="108" spans="1:19" x14ac:dyDescent="0.25">
      <c r="P108">
        <v>4</v>
      </c>
      <c r="Q108" s="70">
        <f t="array" ref="Q108:S108">TRANSPOSE(MMULT($Q$24:$S$26,TRANSPOSE(Q74:S74)))</f>
        <v>-2.265450935398869</v>
      </c>
      <c r="R108" s="70">
        <v>-1.386480825320751</v>
      </c>
      <c r="S108" s="70">
        <v>0.13870653998335875</v>
      </c>
    </row>
    <row r="109" spans="1:19" x14ac:dyDescent="0.25">
      <c r="P109">
        <v>5</v>
      </c>
      <c r="Q109" s="70">
        <f t="array" ref="Q109:S109">TRANSPOSE(MMULT($Q$24:$S$26,TRANSPOSE(Q75:S75)))</f>
        <v>0.78284025847178795</v>
      </c>
      <c r="R109" s="70">
        <v>-1.7926409611283649</v>
      </c>
      <c r="S109" s="70">
        <v>-0.35327169986041507</v>
      </c>
    </row>
    <row r="110" spans="1:19" x14ac:dyDescent="0.25">
      <c r="P110">
        <v>6</v>
      </c>
      <c r="Q110" s="70">
        <f t="array" ref="Q110:S110">TRANSPOSE(MMULT($Q$24:$S$26,TRANSPOSE(Q76:S76)))</f>
        <v>0.95924144688767554</v>
      </c>
      <c r="R110" s="70">
        <v>-1.7971398517728807</v>
      </c>
      <c r="S110" s="70">
        <v>-0.35389243558910144</v>
      </c>
    </row>
    <row r="111" spans="1:19" x14ac:dyDescent="0.25">
      <c r="P111">
        <v>7</v>
      </c>
      <c r="Q111" s="70">
        <f t="array" ref="Q111:S111">TRANSPOSE(MMULT($Q$24:$S$26,TRANSPOSE(Q77:S77)))</f>
        <v>-0.60853416267213412</v>
      </c>
      <c r="R111" s="70">
        <v>-0.97912935641444432</v>
      </c>
      <c r="S111" s="70">
        <v>-0.12335808603189974</v>
      </c>
    </row>
    <row r="112" spans="1:19" x14ac:dyDescent="0.25">
      <c r="P112">
        <v>8</v>
      </c>
      <c r="Q112" s="70">
        <f t="array" ref="Q112:S112">TRANSPOSE(MMULT($Q$24:$S$26,TRANSPOSE(Q78:S78)))</f>
        <v>1.2440961698037443</v>
      </c>
      <c r="R112" s="70">
        <v>-0.66668322759233467</v>
      </c>
      <c r="S112" s="70">
        <v>0.39720785854326957</v>
      </c>
    </row>
    <row r="113" spans="16:19" x14ac:dyDescent="0.25">
      <c r="P113">
        <v>9</v>
      </c>
      <c r="Q113" s="70">
        <f t="array" ref="Q113:S113">TRANSPOSE(MMULT($Q$24:$S$26,TRANSPOSE(Q79:S79)))</f>
        <v>1.6372094542205655</v>
      </c>
      <c r="R113" s="70">
        <v>-0.63761179037744864</v>
      </c>
      <c r="S113" s="70">
        <v>0.45311640063982428</v>
      </c>
    </row>
    <row r="114" spans="16:19" x14ac:dyDescent="0.25">
      <c r="P114">
        <v>10</v>
      </c>
      <c r="Q114" s="70">
        <f t="array" ref="Q114:S114">TRANSPOSE(MMULT($Q$24:$S$26,TRANSPOSE(Q80:S80)))</f>
        <v>-2.0344405626742819</v>
      </c>
      <c r="R114" s="70">
        <v>-0.75021168322961318</v>
      </c>
      <c r="S114" s="70">
        <v>-6.4950695307479989E-2</v>
      </c>
    </row>
    <row r="115" spans="16:19" x14ac:dyDescent="0.25">
      <c r="P115">
        <v>11</v>
      </c>
      <c r="Q115" s="70">
        <f t="array" ref="Q115:S115">TRANSPOSE(MMULT($Q$24:$S$26,TRANSPOSE(Q81:S81)))</f>
        <v>-2.1269908657896575</v>
      </c>
      <c r="R115" s="70">
        <v>-0.54601273954571594</v>
      </c>
      <c r="S115" s="70">
        <v>0.11675790303714439</v>
      </c>
    </row>
    <row r="116" spans="16:19" x14ac:dyDescent="0.25">
      <c r="P116">
        <v>12</v>
      </c>
      <c r="Q116" s="70">
        <f t="array" ref="Q116:S116">TRANSPOSE(MMULT($Q$24:$S$26,TRANSPOSE(Q82:S82)))</f>
        <v>-1.9433622906698944</v>
      </c>
      <c r="R116" s="70">
        <v>-0.28630171502896895</v>
      </c>
      <c r="S116" s="70">
        <v>0.3891616401936292</v>
      </c>
    </row>
    <row r="117" spans="16:19" x14ac:dyDescent="0.25">
      <c r="P117">
        <v>13</v>
      </c>
      <c r="Q117" s="70">
        <f t="array" ref="Q117:S117">TRANSPOSE(MMULT($Q$24:$S$26,TRANSPOSE(Q83:S83)))</f>
        <v>1.0283054046041262</v>
      </c>
      <c r="R117" s="70">
        <v>-0.62795198871470204</v>
      </c>
      <c r="S117" s="70">
        <v>-1.0879989380911059E-2</v>
      </c>
    </row>
    <row r="118" spans="16:19" x14ac:dyDescent="0.25">
      <c r="P118">
        <v>14</v>
      </c>
      <c r="Q118" s="70">
        <f t="array" ref="Q118:S118">TRANSPOSE(MMULT($Q$24:$S$26,TRANSPOSE(Q84:S84)))</f>
        <v>-0.19158747549867905</v>
      </c>
      <c r="R118" s="70">
        <v>-3.1889140512048247E-2</v>
      </c>
      <c r="S118" s="70">
        <v>0.36373482144076763</v>
      </c>
    </row>
    <row r="119" spans="16:19" x14ac:dyDescent="0.25">
      <c r="P119">
        <v>15</v>
      </c>
      <c r="Q119" s="70">
        <f t="array" ref="Q119:S119">TRANSPOSE(MMULT($Q$24:$S$26,TRANSPOSE(Q85:S85)))</f>
        <v>1.1924695240323528</v>
      </c>
      <c r="R119" s="70">
        <v>-0.33304939839713832</v>
      </c>
      <c r="S119" s="70">
        <v>-3.0720186575594277E-2</v>
      </c>
    </row>
    <row r="120" spans="16:19" x14ac:dyDescent="0.25">
      <c r="P120">
        <v>16</v>
      </c>
      <c r="Q120" s="70">
        <f t="array" ref="Q120:S120">TRANSPOSE(MMULT($Q$24:$S$26,TRANSPOSE(Q86:S86)))</f>
        <v>1.5098806406538525</v>
      </c>
      <c r="R120" s="70">
        <v>-0.16716653232333678</v>
      </c>
      <c r="S120" s="70">
        <v>-0.23443360430874505</v>
      </c>
    </row>
    <row r="121" spans="16:19" x14ac:dyDescent="0.25">
      <c r="P121">
        <v>17</v>
      </c>
      <c r="Q121" s="70">
        <f t="array" ref="Q121:S121">TRANSPOSE(MMULT($Q$24:$S$26,TRANSPOSE(Q87:S87)))</f>
        <v>-0.45715781254124155</v>
      </c>
      <c r="R121" s="70">
        <v>0.35558519348677498</v>
      </c>
      <c r="S121" s="70">
        <v>0.12184461905421426</v>
      </c>
    </row>
    <row r="122" spans="16:19" x14ac:dyDescent="0.25">
      <c r="P122">
        <v>18</v>
      </c>
      <c r="Q122" s="70">
        <f t="array" ref="Q122:S122">TRANSPOSE(MMULT($Q$24:$S$26,TRANSPOSE(Q88:S88)))</f>
        <v>-0.37730524381418473</v>
      </c>
      <c r="R122" s="70">
        <v>0.41463694739643997</v>
      </c>
      <c r="S122" s="70">
        <v>9.6695844293062772E-2</v>
      </c>
    </row>
    <row r="123" spans="16:19" x14ac:dyDescent="0.25">
      <c r="P123">
        <v>19</v>
      </c>
      <c r="Q123" s="70">
        <f t="array" ref="Q123:S123">TRANSPOSE(MMULT($Q$24:$S$26,TRANSPOSE(Q89:S89)))</f>
        <v>0.78134024190104978</v>
      </c>
      <c r="R123" s="70">
        <v>0.48380535837522715</v>
      </c>
      <c r="S123" s="70">
        <v>8.5080194120215336E-3</v>
      </c>
    </row>
    <row r="124" spans="16:19" x14ac:dyDescent="0.25">
      <c r="P124">
        <v>20</v>
      </c>
      <c r="Q124" s="70">
        <f t="array" ref="Q124:S124">TRANSPOSE(MMULT($Q$24:$S$26,TRANSPOSE(Q90:S90)))</f>
        <v>-0.47016412797193752</v>
      </c>
      <c r="R124" s="70">
        <v>0.63789999135068398</v>
      </c>
      <c r="S124" s="70">
        <v>-3.6823644280789658E-2</v>
      </c>
    </row>
    <row r="125" spans="16:19" x14ac:dyDescent="0.25">
      <c r="P125">
        <v>21</v>
      </c>
      <c r="Q125" s="70">
        <f t="array" ref="Q125:S125">TRANSPOSE(MMULT($Q$24:$S$26,TRANSPOSE(Q91:S91)))</f>
        <v>0.5922413190968433</v>
      </c>
      <c r="R125" s="70">
        <v>0.75155494661330524</v>
      </c>
      <c r="S125" s="70">
        <v>0.16568857872418075</v>
      </c>
    </row>
    <row r="126" spans="16:19" x14ac:dyDescent="0.25">
      <c r="P126">
        <v>22</v>
      </c>
      <c r="Q126" s="70">
        <f t="array" ref="Q126:S126">TRANSPOSE(MMULT($Q$24:$S$26,TRANSPOSE(Q92:S92)))</f>
        <v>1.723273631615351</v>
      </c>
      <c r="R126" s="70">
        <v>0.51940344149461226</v>
      </c>
      <c r="S126" s="70">
        <v>-0.13620908329426107</v>
      </c>
    </row>
    <row r="127" spans="16:19" x14ac:dyDescent="0.25">
      <c r="P127">
        <v>23</v>
      </c>
      <c r="Q127" s="70">
        <f t="array" ref="Q127:S127">TRANSPOSE(MMULT($Q$24:$S$26,TRANSPOSE(Q93:S93)))</f>
        <v>1.0500496141650173</v>
      </c>
      <c r="R127" s="70">
        <v>0.99645390239804299</v>
      </c>
      <c r="S127" s="70">
        <v>0.42566913600398171</v>
      </c>
    </row>
    <row r="128" spans="16:19" x14ac:dyDescent="0.25">
      <c r="P128">
        <v>24</v>
      </c>
      <c r="Q128" s="70">
        <f t="array" ref="Q128:S128">TRANSPOSE(MMULT($Q$24:$S$26,TRANSPOSE(Q94:S94)))</f>
        <v>0.37598988849656756</v>
      </c>
      <c r="R128" s="70">
        <v>0.75413540212242058</v>
      </c>
      <c r="S128" s="70">
        <v>-6.6619984150530151E-2</v>
      </c>
    </row>
    <row r="129" spans="16:19" x14ac:dyDescent="0.25">
      <c r="P129">
        <v>25</v>
      </c>
      <c r="Q129" s="70">
        <f t="array" ref="Q129:S129">TRANSPOSE(MMULT($Q$24:$S$26,TRANSPOSE(Q95:S95)))</f>
        <v>0.53923267712347867</v>
      </c>
      <c r="R129" s="70">
        <v>0.97673642570294994</v>
      </c>
      <c r="S129" s="70">
        <v>0.26509838875372566</v>
      </c>
    </row>
    <row r="130" spans="16:19" x14ac:dyDescent="0.25">
      <c r="P130">
        <v>26</v>
      </c>
      <c r="Q130" s="70">
        <f t="array" ref="Q130:S130">TRANSPOSE(MMULT($Q$24:$S$26,TRANSPOSE(Q96:S96)))</f>
        <v>-2.4767442423090431</v>
      </c>
      <c r="R130" s="70">
        <v>1.1396691817550488</v>
      </c>
      <c r="S130" s="70">
        <v>0.40175336739724909</v>
      </c>
    </row>
    <row r="131" spans="16:19" x14ac:dyDescent="0.25">
      <c r="P131">
        <v>27</v>
      </c>
      <c r="Q131" s="70">
        <f t="array" ref="Q131:S131">TRANSPOSE(MMULT($Q$24:$S$26,TRANSPOSE(Q97:S97)))</f>
        <v>-0.2135397403373504</v>
      </c>
      <c r="R131" s="70">
        <v>1.5051648999744436</v>
      </c>
      <c r="S131" s="70">
        <v>-0.12988936112277261</v>
      </c>
    </row>
    <row r="132" spans="16:19" x14ac:dyDescent="0.25">
      <c r="P132">
        <v>28</v>
      </c>
      <c r="Q132" s="70">
        <f t="array" ref="Q132:S132">TRANSPOSE(MMULT($Q$24:$S$26,TRANSPOSE(Q98:S98)))</f>
        <v>-0.37078505410407891</v>
      </c>
      <c r="R132" s="70">
        <v>1.4935363250884894</v>
      </c>
      <c r="S132" s="70">
        <v>-0.15225277796139447</v>
      </c>
    </row>
    <row r="133" spans="16:19" x14ac:dyDescent="0.25">
      <c r="P133">
        <v>29</v>
      </c>
      <c r="Q133" s="70">
        <f t="array" ref="Q133:S133">TRANSPOSE(MMULT($Q$24:$S$26,TRANSPOSE(Q99:S99)))</f>
        <v>-0.58549799181828488</v>
      </c>
      <c r="R133" s="70">
        <v>1.5302901467939458</v>
      </c>
      <c r="S133" s="70">
        <v>-0.10566373709809118</v>
      </c>
    </row>
    <row r="134" spans="16:19" x14ac:dyDescent="0.25">
      <c r="P134">
        <v>30</v>
      </c>
      <c r="Q134" s="70">
        <f t="array" ref="Q134:S134">TRANSPOSE(MMULT($Q$24:$S$26,TRANSPOSE(Q100:S100)))</f>
        <v>-0.65720184304015095</v>
      </c>
      <c r="R134" s="70">
        <v>1.8077498747825778</v>
      </c>
      <c r="S134" s="70">
        <v>-0.15904905955070747</v>
      </c>
    </row>
    <row r="135" spans="16:19" x14ac:dyDescent="0.25">
      <c r="P135">
        <v>31</v>
      </c>
      <c r="Q135" s="70">
        <f t="array" ref="Q135:S135">TRANSPOSE(MMULT($Q$24:$S$26,TRANSPOSE(Q101:S101)))</f>
        <v>-0.20901870891397223</v>
      </c>
      <c r="R135" s="70">
        <v>2.5137401281016345</v>
      </c>
      <c r="S135" s="70">
        <v>-0.48195630206577433</v>
      </c>
    </row>
  </sheetData>
  <sortState ref="D61:D86">
    <sortCondition ref="D61"/>
  </sortState>
  <mergeCells count="9">
    <mergeCell ref="F84:F96"/>
    <mergeCell ref="O49:O61"/>
    <mergeCell ref="O84:O96"/>
    <mergeCell ref="AD49:AD61"/>
    <mergeCell ref="F36:F47"/>
    <mergeCell ref="U36:U47"/>
    <mergeCell ref="F49:F61"/>
    <mergeCell ref="U49:U61"/>
    <mergeCell ref="F71:F82"/>
  </mergeCells>
  <hyperlinks>
    <hyperlink ref="A1:C1" r:id="rId1" display="Файл скачан с сайта excel2.ru &gt;&gt;&gt;"/>
    <hyperlink ref="Y9" r:id="rId2" location="h11"/>
    <hyperlink ref="AA16" r:id="rId3"/>
    <hyperlink ref="K7" r:id="rId4" location="897677"/>
    <hyperlink ref="A2" r:id="rId5"/>
    <hyperlink ref="AC2" r:id="rId6" display="Задать вопрос"/>
  </hyperlinks>
  <pageMargins left="0.7" right="0.7" top="0.75" bottom="0.75" header="0.3" footer="0.3"/>
  <pageSetup orientation="portrait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10" name="Scroll Bar 12">
              <controlPr defaultSiz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1"/>
  <sheetViews>
    <sheetView zoomScale="85" zoomScaleNormal="85" workbookViewId="0">
      <selection activeCell="AD2" sqref="AD2"/>
    </sheetView>
  </sheetViews>
  <sheetFormatPr defaultRowHeight="15" x14ac:dyDescent="0.25"/>
  <cols>
    <col min="1" max="1" width="11" customWidth="1"/>
    <col min="2" max="4" width="13.85546875" customWidth="1"/>
    <col min="5" max="5" width="14.140625" customWidth="1"/>
    <col min="6" max="6" width="4.28515625" customWidth="1"/>
    <col min="7" max="7" width="3.7109375" bestFit="1" customWidth="1"/>
    <col min="8" max="9" width="9.28515625" bestFit="1" customWidth="1"/>
    <col min="10" max="10" width="8.7109375" customWidth="1"/>
    <col min="13" max="14" width="9.140625" customWidth="1"/>
    <col min="16" max="16" width="3.7109375" customWidth="1"/>
    <col min="17" max="17" width="2.85546875" customWidth="1"/>
    <col min="18" max="18" width="11.7109375" customWidth="1"/>
    <col min="19" max="19" width="14.42578125" customWidth="1"/>
    <col min="20" max="20" width="12.7109375" customWidth="1"/>
    <col min="21" max="21" width="8" customWidth="1"/>
    <col min="22" max="22" width="3.7109375" bestFit="1" customWidth="1"/>
    <col min="31" max="31" width="3.7109375" bestFit="1" customWidth="1"/>
  </cols>
  <sheetData>
    <row r="1" spans="1:31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91" t="s">
        <v>272</v>
      </c>
      <c r="AE2" s="2"/>
    </row>
    <row r="3" spans="1:31" ht="18.75" x14ac:dyDescent="0.25">
      <c r="A3" s="1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9" t="s">
        <v>147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6" spans="1:31" x14ac:dyDescent="0.25">
      <c r="A6" s="19" t="s">
        <v>101</v>
      </c>
    </row>
    <row r="7" spans="1:31" x14ac:dyDescent="0.25">
      <c r="A7" t="s">
        <v>102</v>
      </c>
      <c r="B7" t="s">
        <v>203</v>
      </c>
    </row>
    <row r="8" spans="1:31" x14ac:dyDescent="0.25">
      <c r="B8" s="81" t="s">
        <v>204</v>
      </c>
    </row>
    <row r="9" spans="1:31" x14ac:dyDescent="0.25">
      <c r="A9" t="s">
        <v>103</v>
      </c>
      <c r="B9" t="s">
        <v>105</v>
      </c>
    </row>
    <row r="10" spans="1:31" x14ac:dyDescent="0.25">
      <c r="B10" s="81" t="s">
        <v>205</v>
      </c>
    </row>
    <row r="11" spans="1:31" x14ac:dyDescent="0.25">
      <c r="A11" t="s">
        <v>104</v>
      </c>
      <c r="B11" t="s">
        <v>143</v>
      </c>
    </row>
    <row r="12" spans="1:31" x14ac:dyDescent="0.25">
      <c r="B12" s="81" t="s">
        <v>206</v>
      </c>
      <c r="R12" s="134" t="s">
        <v>213</v>
      </c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</row>
    <row r="13" spans="1:31" x14ac:dyDescent="0.25">
      <c r="A13" s="19" t="s">
        <v>209</v>
      </c>
      <c r="B13" s="81"/>
    </row>
    <row r="14" spans="1:31" x14ac:dyDescent="0.25">
      <c r="A14" t="s">
        <v>102</v>
      </c>
      <c r="B14" t="s">
        <v>145</v>
      </c>
      <c r="R14" t="s">
        <v>108</v>
      </c>
      <c r="W14" t="s">
        <v>118</v>
      </c>
    </row>
    <row r="15" spans="1:31" x14ac:dyDescent="0.25">
      <c r="A15" t="s">
        <v>103</v>
      </c>
      <c r="B15" s="100" t="s">
        <v>215</v>
      </c>
      <c r="R15" s="18" t="s">
        <v>109</v>
      </c>
      <c r="S15" s="18" t="s">
        <v>110</v>
      </c>
      <c r="T15" s="18" t="s">
        <v>111</v>
      </c>
      <c r="U15" s="18" t="s">
        <v>112</v>
      </c>
      <c r="W15" s="110" t="s">
        <v>119</v>
      </c>
      <c r="X15" s="67">
        <f>-R16/S16</f>
        <v>-3.4999999999999996</v>
      </c>
      <c r="Y15" s="67" t="s">
        <v>120</v>
      </c>
      <c r="Z15" s="64" t="s">
        <v>121</v>
      </c>
    </row>
    <row r="16" spans="1:31" x14ac:dyDescent="0.25">
      <c r="A16" t="s">
        <v>104</v>
      </c>
      <c r="B16" t="s">
        <v>146</v>
      </c>
      <c r="R16" s="114">
        <f>A26</f>
        <v>0.7</v>
      </c>
      <c r="S16" s="114">
        <f>B26</f>
        <v>0.2</v>
      </c>
      <c r="T16" s="67">
        <v>-1</v>
      </c>
      <c r="U16" s="67">
        <f>C26</f>
        <v>-0.3</v>
      </c>
    </row>
    <row r="17" spans="1:30" x14ac:dyDescent="0.25">
      <c r="R17" t="str">
        <f>"Плоскость тренда: Y="&amp;ROUND(C26,3)&amp;IF(SIGN(A26)=-1,"-","+")&amp;ROUND(ABS(A26),3)&amp;"*Х1"&amp;IF(SIGN(B26)=-1,"-","+")&amp;ROUND(ABS(B26),3)&amp;"*Х2"</f>
        <v>Плоскость тренда: Y=-0,3+0,7*Х1+0,2*Х2</v>
      </c>
      <c r="S17" s="123"/>
      <c r="T17" s="119"/>
      <c r="U17" s="119"/>
    </row>
    <row r="18" spans="1:30" x14ac:dyDescent="0.25">
      <c r="W18" s="18" t="s">
        <v>122</v>
      </c>
      <c r="X18" s="18" t="s">
        <v>33</v>
      </c>
      <c r="Y18" s="18" t="s">
        <v>123</v>
      </c>
      <c r="Z18" s="18" t="s">
        <v>124</v>
      </c>
      <c r="AA18" s="18" t="s">
        <v>125</v>
      </c>
    </row>
    <row r="19" spans="1:30" x14ac:dyDescent="0.25">
      <c r="A19" s="120" t="s">
        <v>106</v>
      </c>
      <c r="E19" s="120" t="s">
        <v>140</v>
      </c>
      <c r="H19" s="143" t="s">
        <v>138</v>
      </c>
      <c r="R19" t="s">
        <v>117</v>
      </c>
      <c r="W19" s="115" t="s">
        <v>126</v>
      </c>
      <c r="X19" s="71">
        <v>3</v>
      </c>
      <c r="Y19" s="111">
        <f>X15*X19</f>
        <v>-10.499999999999998</v>
      </c>
      <c r="Z19" s="67">
        <v>0</v>
      </c>
      <c r="AA19" s="114">
        <f>SQRT(SUMSQ(X19:Z19))</f>
        <v>10.920164833920776</v>
      </c>
    </row>
    <row r="20" spans="1:30" ht="26.25" x14ac:dyDescent="0.25">
      <c r="A20" s="67"/>
      <c r="B20" s="18" t="s">
        <v>77</v>
      </c>
      <c r="C20" s="18" t="s">
        <v>78</v>
      </c>
      <c r="E20" s="145" t="s">
        <v>107</v>
      </c>
      <c r="F20" s="71">
        <v>0.1</v>
      </c>
      <c r="H20" s="81" t="s">
        <v>211</v>
      </c>
      <c r="R20" s="18" t="s">
        <v>113</v>
      </c>
      <c r="S20" s="18" t="s">
        <v>114</v>
      </c>
      <c r="T20" s="18" t="s">
        <v>115</v>
      </c>
      <c r="U20" s="18" t="s">
        <v>116</v>
      </c>
      <c r="W20" s="116" t="s">
        <v>127</v>
      </c>
      <c r="X20" s="114">
        <f>X19/$AA$19</f>
        <v>0.27472112789737807</v>
      </c>
      <c r="Y20" s="114">
        <f>Y19/$AA$19</f>
        <v>-0.96152394764082316</v>
      </c>
      <c r="Z20" s="67">
        <f>Z19/$AA$19</f>
        <v>0</v>
      </c>
      <c r="AA20" s="67">
        <f>SQRT(SUMSQ(X20:Z20))</f>
        <v>1</v>
      </c>
    </row>
    <row r="21" spans="1:30" x14ac:dyDescent="0.25">
      <c r="A21" s="67" t="s">
        <v>75</v>
      </c>
      <c r="B21" s="71">
        <v>-2</v>
      </c>
      <c r="C21" s="71">
        <f>B21</f>
        <v>-2</v>
      </c>
      <c r="E21" s="22" t="s">
        <v>210</v>
      </c>
      <c r="F21" s="71">
        <v>0.7</v>
      </c>
      <c r="H21" s="18" t="s">
        <v>81</v>
      </c>
      <c r="I21" s="18" t="s">
        <v>80</v>
      </c>
      <c r="J21" s="18" t="s">
        <v>79</v>
      </c>
      <c r="R21" s="67">
        <v>0</v>
      </c>
      <c r="S21" s="67">
        <v>0</v>
      </c>
      <c r="T21" s="67">
        <v>1</v>
      </c>
      <c r="U21" s="67">
        <v>0</v>
      </c>
    </row>
    <row r="22" spans="1:30" x14ac:dyDescent="0.25">
      <c r="A22" s="67" t="s">
        <v>76</v>
      </c>
      <c r="B22" s="71">
        <f>-B21</f>
        <v>2</v>
      </c>
      <c r="C22" s="71">
        <f>-C21</f>
        <v>2</v>
      </c>
      <c r="H22" s="114">
        <f t="array" aca="1" ref="H22:J22" ca="1">LINEST(B31:B55,C31:D55)</f>
        <v>0.17700428215760941</v>
      </c>
      <c r="I22" s="114">
        <f ca="1"/>
        <v>0.72718859064019392</v>
      </c>
      <c r="J22" s="114">
        <f ca="1"/>
        <v>-0.28670831248590323</v>
      </c>
      <c r="W22" s="67">
        <v>0</v>
      </c>
      <c r="X22" s="67">
        <v>0</v>
      </c>
      <c r="Y22" s="67">
        <v>1</v>
      </c>
      <c r="Z22" t="s">
        <v>128</v>
      </c>
      <c r="AB22" s="64" t="s">
        <v>129</v>
      </c>
    </row>
    <row r="23" spans="1:30" x14ac:dyDescent="0.25">
      <c r="R23" s="19" t="s">
        <v>132</v>
      </c>
      <c r="W23" s="67">
        <f>-ABS(SUMPRODUCT(W22:Y22,R16:T16))</f>
        <v>-1</v>
      </c>
      <c r="X23" t="s">
        <v>141</v>
      </c>
    </row>
    <row r="24" spans="1:30" x14ac:dyDescent="0.25">
      <c r="A24" s="81" t="s">
        <v>178</v>
      </c>
      <c r="R24" s="70">
        <f>cz+ux*ux*(1-cz)</f>
        <v>-0.6719651337597683</v>
      </c>
      <c r="S24" s="70">
        <f>ux*uy*(1-cz)-uz*sz</f>
        <v>-0.47770432393136236</v>
      </c>
      <c r="T24" s="70">
        <f>ux*uz*(1-cz)+uy*sz</f>
        <v>-0.56591645841811022</v>
      </c>
      <c r="W24" s="114">
        <f>W23/(SQRT(SUMSQ(W22:Y22))*SQRT(SUMSQ(R16:T16)))</f>
        <v>-0.8084520834544433</v>
      </c>
      <c r="X24" t="s">
        <v>130</v>
      </c>
    </row>
    <row r="25" spans="1:30" x14ac:dyDescent="0.25">
      <c r="A25" s="18" t="s">
        <v>80</v>
      </c>
      <c r="B25" s="18" t="s">
        <v>81</v>
      </c>
      <c r="C25" s="18" t="s">
        <v>79</v>
      </c>
      <c r="H25" s="18" t="s">
        <v>80</v>
      </c>
      <c r="I25" s="18" t="s">
        <v>81</v>
      </c>
      <c r="J25" s="18" t="s">
        <v>79</v>
      </c>
      <c r="R25" s="70">
        <f>uy*ux*(1-cz)+uz*sz</f>
        <v>-0.47770432393136236</v>
      </c>
      <c r="S25" s="70">
        <f>cz+uy*uy*(1-cz)</f>
        <v>0.86351305030532499</v>
      </c>
      <c r="T25" s="70">
        <f>uy*uz*(1-cz)-ux*sz</f>
        <v>-0.16169041669088863</v>
      </c>
      <c r="W25" s="114">
        <f>SQRT(1-W24*W24)</f>
        <v>0.58856200077661303</v>
      </c>
      <c r="X25" t="s">
        <v>131</v>
      </c>
    </row>
    <row r="26" spans="1:30" x14ac:dyDescent="0.25">
      <c r="A26" s="112">
        <v>0.7</v>
      </c>
      <c r="B26" s="112">
        <v>0.2</v>
      </c>
      <c r="C26" s="121">
        <v>-0.3</v>
      </c>
      <c r="H26" s="114">
        <f ca="1">I22</f>
        <v>0.72718859064019392</v>
      </c>
      <c r="I26" s="114">
        <f ca="1">H22</f>
        <v>0.17700428215760941</v>
      </c>
      <c r="J26" s="114">
        <f ca="1">J22</f>
        <v>-0.28670831248590323</v>
      </c>
      <c r="R26" s="70">
        <f>uz*ux*(1-cz)-uy*sz</f>
        <v>0.56591645841811022</v>
      </c>
      <c r="S26" s="70">
        <f>uz*uy*(1-cz)+ux*sz</f>
        <v>0.16169041669088863</v>
      </c>
      <c r="T26" s="70">
        <f>cz+uz*uz*(1-cz)</f>
        <v>-0.8084520834544433</v>
      </c>
      <c r="W26" s="144">
        <f>IF(ACOS(W24)/PI()*180&gt;90,180-ACOS(W24)/PI()*180,ACOS(W24)/PI()*180)</f>
        <v>36.055029684428945</v>
      </c>
      <c r="X26" t="s">
        <v>214</v>
      </c>
    </row>
    <row r="27" spans="1:30" x14ac:dyDescent="0.25">
      <c r="H27" s="118">
        <f ca="1">(H26-A26)/H26</f>
        <v>3.7388637542096183E-2</v>
      </c>
      <c r="I27" s="118">
        <f ca="1">(I26-B26)/I26</f>
        <v>-0.12991616678468032</v>
      </c>
      <c r="J27" s="118">
        <f ca="1">(J26-C26)/J26</f>
        <v>-4.6359616848396339E-2</v>
      </c>
      <c r="X27" s="68"/>
      <c r="Y27" s="68"/>
      <c r="Z27" s="68"/>
    </row>
    <row r="28" spans="1:30" x14ac:dyDescent="0.25">
      <c r="E28">
        <v>2</v>
      </c>
      <c r="X28" s="68"/>
      <c r="Y28" s="68"/>
      <c r="Z28" s="68"/>
    </row>
    <row r="29" spans="1:30" ht="31.5" x14ac:dyDescent="0.25">
      <c r="H29" s="106" t="s">
        <v>144</v>
      </c>
      <c r="I29" s="107"/>
      <c r="J29" s="107"/>
      <c r="K29" s="107"/>
      <c r="L29" s="107"/>
      <c r="M29" s="107"/>
      <c r="N29" s="107"/>
      <c r="O29" s="108"/>
      <c r="R29" t="s">
        <v>137</v>
      </c>
      <c r="W29" s="122" t="str">
        <f>'Диагр расс (в плоск регрессии)'!V34</f>
        <v>Матричная диаграмма рассеяния (вид сверху на плоскость регрессии и 2 вида вдоль плоскости)</v>
      </c>
      <c r="X29" s="107"/>
      <c r="Y29" s="107"/>
      <c r="Z29" s="107"/>
      <c r="AA29" s="107"/>
      <c r="AB29" s="107"/>
      <c r="AC29" s="107"/>
      <c r="AD29" s="108"/>
    </row>
    <row r="30" spans="1:30" x14ac:dyDescent="0.25">
      <c r="A30" s="88" t="s">
        <v>212</v>
      </c>
      <c r="B30" s="88" t="s">
        <v>179</v>
      </c>
      <c r="C30" s="88" t="s">
        <v>180</v>
      </c>
      <c r="D30" s="88" t="s">
        <v>181</v>
      </c>
      <c r="E30" s="88" t="s">
        <v>139</v>
      </c>
      <c r="G30" s="75"/>
      <c r="H30" s="76" t="str">
        <f>C30</f>
        <v>X1</v>
      </c>
      <c r="I30" s="76"/>
      <c r="J30" s="76"/>
      <c r="K30" s="76"/>
      <c r="M30" s="77" t="s">
        <v>84</v>
      </c>
      <c r="N30" s="78"/>
      <c r="O30" s="77">
        <f>COUNTA(B30:D30)</f>
        <v>3</v>
      </c>
      <c r="R30" s="88" t="str">
        <f>B30</f>
        <v>Y (Прогноз)</v>
      </c>
      <c r="S30" s="88" t="str">
        <f>C30</f>
        <v>X1</v>
      </c>
      <c r="T30" s="88" t="str">
        <f>D30</f>
        <v>X2</v>
      </c>
      <c r="V30" s="75"/>
      <c r="W30" s="76" t="str">
        <f>S30</f>
        <v>X1</v>
      </c>
      <c r="X30" s="76"/>
      <c r="Y30" s="76"/>
      <c r="Z30" s="76"/>
    </row>
    <row r="31" spans="1:30" x14ac:dyDescent="0.25">
      <c r="A31" s="80">
        <v>1</v>
      </c>
      <c r="B31" s="70">
        <f t="shared" ref="B31:B55" ca="1" si="0">_xlfn.NORM.INV(RAND(),E31,$F$20)</f>
        <v>0.2045909865821883</v>
      </c>
      <c r="C31" s="70">
        <f t="shared" ref="C31:D46" ca="1" si="1">OFFSET(C59,28*($E$28-1),)</f>
        <v>0.7</v>
      </c>
      <c r="D31" s="70">
        <f t="shared" ca="1" si="1"/>
        <v>0</v>
      </c>
      <c r="E31" s="70">
        <f ca="1">$C$26+$A$26*C31+$B$26*D31</f>
        <v>0.18999999999999995</v>
      </c>
      <c r="G31" s="188" t="str">
        <f>B30</f>
        <v>Y (Прогноз)</v>
      </c>
      <c r="M31" s="79" t="s">
        <v>85</v>
      </c>
      <c r="N31" s="80"/>
      <c r="O31" s="79">
        <f>COMBIN(O30,2)</f>
        <v>3</v>
      </c>
      <c r="R31" s="113">
        <f ca="1">T87</f>
        <v>-1.1796113502026029E-2</v>
      </c>
      <c r="S31" s="113">
        <f ca="1">R87</f>
        <v>-0.75593193770812994</v>
      </c>
      <c r="T31" s="113">
        <f ca="1">S87</f>
        <v>-0.41598055363089426</v>
      </c>
      <c r="V31" s="188" t="str">
        <f>R30</f>
        <v>Y (Прогноз)</v>
      </c>
    </row>
    <row r="32" spans="1:30" ht="15" customHeight="1" x14ac:dyDescent="0.25">
      <c r="A32" s="80">
        <v>2</v>
      </c>
      <c r="B32" s="70">
        <f t="shared" ca="1" si="0"/>
        <v>0.30747345171565194</v>
      </c>
      <c r="C32" s="70">
        <f t="shared" ca="1" si="1"/>
        <v>0.67614807840234781</v>
      </c>
      <c r="D32" s="70">
        <f t="shared" ca="1" si="1"/>
        <v>0.18117333157176452</v>
      </c>
      <c r="E32" s="70">
        <f t="shared" ref="E32:E55" ca="1" si="2">$C$26+$A$26*C32+$B$26*D32</f>
        <v>0.20953832119599636</v>
      </c>
      <c r="G32" s="187"/>
      <c r="R32" s="113">
        <f t="shared" ref="R32:R55" ca="1" si="3">T88</f>
        <v>-7.9175860311998414E-2</v>
      </c>
      <c r="S32" s="113">
        <f t="shared" ref="S32:T47" ca="1" si="4">R88</f>
        <v>-0.88467444219587288</v>
      </c>
      <c r="T32" s="113">
        <f t="shared" ca="1" si="4"/>
        <v>-0.26477596002772708</v>
      </c>
      <c r="V32" s="187"/>
    </row>
    <row r="33" spans="1:31" x14ac:dyDescent="0.25">
      <c r="A33" s="80">
        <v>3</v>
      </c>
      <c r="B33" s="70">
        <f t="shared" ca="1" si="0"/>
        <v>8.8292890845987709E-2</v>
      </c>
      <c r="C33" s="70">
        <f t="shared" ca="1" si="1"/>
        <v>0.60621778264910708</v>
      </c>
      <c r="D33" s="70">
        <f t="shared" ca="1" si="1"/>
        <v>0.34999999999999992</v>
      </c>
      <c r="E33" s="70">
        <f t="shared" ca="1" si="2"/>
        <v>0.19435244785437494</v>
      </c>
      <c r="G33" s="187"/>
      <c r="R33" s="113">
        <f t="shared" ca="1" si="3"/>
        <v>8.5744069833685821E-2</v>
      </c>
      <c r="S33" s="113">
        <f t="shared" ca="1" si="4"/>
        <v>-0.79429506439782549</v>
      </c>
      <c r="T33" s="113">
        <f t="shared" ca="1" si="4"/>
        <v>-5.0146527727695067E-2</v>
      </c>
      <c r="V33" s="187"/>
    </row>
    <row r="34" spans="1:31" x14ac:dyDescent="0.25">
      <c r="A34" s="80">
        <v>4</v>
      </c>
      <c r="B34" s="70">
        <f t="shared" ca="1" si="0"/>
        <v>0.31911793885090123</v>
      </c>
      <c r="C34" s="70">
        <f t="shared" ca="1" si="1"/>
        <v>0.49497474683058329</v>
      </c>
      <c r="D34" s="70">
        <f t="shared" ca="1" si="1"/>
        <v>0.49497474683058318</v>
      </c>
      <c r="E34" s="70">
        <f t="shared" ca="1" si="2"/>
        <v>0.14547727214752493</v>
      </c>
      <c r="G34" s="187"/>
      <c r="R34" s="113">
        <f t="shared" ca="1" si="3"/>
        <v>-0.1403801587687632</v>
      </c>
      <c r="S34" s="113">
        <f t="shared" ca="1" si="4"/>
        <v>-0.9194263800571435</v>
      </c>
      <c r="T34" s="113">
        <f t="shared" ca="1" si="4"/>
        <v>9.0860139148375513E-2</v>
      </c>
      <c r="V34" s="187"/>
    </row>
    <row r="35" spans="1:31" x14ac:dyDescent="0.25">
      <c r="A35" s="80">
        <v>5</v>
      </c>
      <c r="B35" s="70">
        <f t="shared" ca="1" si="0"/>
        <v>5.2299935598542034E-2</v>
      </c>
      <c r="C35" s="70">
        <f t="shared" ca="1" si="1"/>
        <v>0.35000000000000003</v>
      </c>
      <c r="D35" s="70">
        <f t="shared" ca="1" si="1"/>
        <v>0.60621778264910697</v>
      </c>
      <c r="E35" s="70">
        <f t="shared" ca="1" si="2"/>
        <v>6.6243556529821404E-2</v>
      </c>
      <c r="G35" s="187"/>
      <c r="R35" s="113">
        <f t="shared" ca="1" si="3"/>
        <v>1.127274939279177E-2</v>
      </c>
      <c r="S35" s="113">
        <f t="shared" ca="1" si="4"/>
        <v>-0.72415298468633527</v>
      </c>
      <c r="T35" s="113">
        <f t="shared" ca="1" si="4"/>
        <v>0.29931692988158259</v>
      </c>
      <c r="V35" s="187"/>
    </row>
    <row r="36" spans="1:31" x14ac:dyDescent="0.25">
      <c r="A36" s="80">
        <v>6</v>
      </c>
      <c r="B36" s="70">
        <f t="shared" ca="1" si="0"/>
        <v>-7.3691733873114743E-2</v>
      </c>
      <c r="C36" s="70">
        <f t="shared" ca="1" si="1"/>
        <v>0.18117333157176466</v>
      </c>
      <c r="D36" s="70">
        <f t="shared" ca="1" si="1"/>
        <v>0.6761480784023477</v>
      </c>
      <c r="E36" s="70">
        <f t="shared" ca="1" si="2"/>
        <v>-3.7949052219295204E-2</v>
      </c>
      <c r="G36" s="187"/>
      <c r="R36" s="113">
        <f t="shared" ca="1" si="3"/>
        <v>2.8896245451279279E-2</v>
      </c>
      <c r="S36" s="113">
        <f t="shared" ca="1" si="4"/>
        <v>-0.57281259513127702</v>
      </c>
      <c r="T36" s="113">
        <f t="shared" ca="1" si="4"/>
        <v>0.46072352791576437</v>
      </c>
      <c r="V36" s="187"/>
    </row>
    <row r="37" spans="1:31" x14ac:dyDescent="0.25">
      <c r="A37" s="80">
        <v>7</v>
      </c>
      <c r="B37" s="70">
        <f t="shared" ca="1" si="0"/>
        <v>-0.11680646995269281</v>
      </c>
      <c r="C37" s="70">
        <f t="shared" ca="1" si="1"/>
        <v>1.9831141936932361E-16</v>
      </c>
      <c r="D37" s="70">
        <f t="shared" ca="1" si="1"/>
        <v>0.7</v>
      </c>
      <c r="E37" s="70">
        <f t="shared" ca="1" si="2"/>
        <v>-0.15999999999999984</v>
      </c>
      <c r="G37" s="187"/>
      <c r="R37" s="113">
        <f t="shared" ca="1" si="3"/>
        <v>-3.4919899358497528E-2</v>
      </c>
      <c r="S37" s="113">
        <f t="shared" ca="1" si="4"/>
        <v>-0.43806526048143751</v>
      </c>
      <c r="T37" s="113">
        <f t="shared" ca="1" si="4"/>
        <v>0.57483849700530332</v>
      </c>
      <c r="V37" s="187"/>
    </row>
    <row r="38" spans="1:31" x14ac:dyDescent="0.25">
      <c r="A38" s="80">
        <v>8</v>
      </c>
      <c r="B38" s="70">
        <f t="shared" ca="1" si="0"/>
        <v>-0.36606708350395689</v>
      </c>
      <c r="C38" s="70">
        <f t="shared" ca="1" si="1"/>
        <v>-0.18117333157176427</v>
      </c>
      <c r="D38" s="70">
        <f t="shared" ca="1" si="1"/>
        <v>0.67614807840234781</v>
      </c>
      <c r="E38" s="70">
        <f t="shared" ca="1" si="2"/>
        <v>-0.29159171641976545</v>
      </c>
      <c r="G38" s="187"/>
      <c r="R38" s="113">
        <f t="shared" ca="1" si="3"/>
        <v>6.0209765685249064E-2</v>
      </c>
      <c r="S38" s="113">
        <f t="shared" ca="1" si="4"/>
        <v>-0.16386824877278705</v>
      </c>
      <c r="T38" s="113">
        <f t="shared" ca="1" si="4"/>
        <v>0.68109238777348424</v>
      </c>
      <c r="V38" s="187"/>
    </row>
    <row r="39" spans="1:31" x14ac:dyDescent="0.25">
      <c r="A39" s="80">
        <v>9</v>
      </c>
      <c r="B39" s="70">
        <f t="shared" ca="1" si="0"/>
        <v>-0.49025716593411295</v>
      </c>
      <c r="C39" s="70">
        <f t="shared" ca="1" si="1"/>
        <v>-0.34999999999999981</v>
      </c>
      <c r="D39" s="70">
        <f t="shared" ca="1" si="1"/>
        <v>0.60621778264910708</v>
      </c>
      <c r="E39" s="70">
        <f t="shared" ca="1" si="2"/>
        <v>-0.42375644347017838</v>
      </c>
      <c r="G39" s="187"/>
      <c r="R39" s="113">
        <f t="shared" ca="1" si="3"/>
        <v>5.3762647627193572E-2</v>
      </c>
      <c r="S39" s="113">
        <f t="shared" ca="1" si="4"/>
        <v>5.3264602334457428E-2</v>
      </c>
      <c r="T39" s="113">
        <f t="shared" ca="1" si="4"/>
        <v>0.72143624045895194</v>
      </c>
      <c r="V39" s="187"/>
    </row>
    <row r="40" spans="1:31" x14ac:dyDescent="0.25">
      <c r="A40" s="80">
        <v>10</v>
      </c>
      <c r="B40" s="70">
        <f t="shared" ca="1" si="0"/>
        <v>-0.49879413901058867</v>
      </c>
      <c r="C40" s="70">
        <f t="shared" ca="1" si="1"/>
        <v>-0.49497474683058318</v>
      </c>
      <c r="D40" s="70">
        <f t="shared" ca="1" si="1"/>
        <v>0.49497474683058329</v>
      </c>
      <c r="E40" s="70">
        <f t="shared" ca="1" si="2"/>
        <v>-0.54748737341529163</v>
      </c>
      <c r="G40" s="187"/>
      <c r="R40" s="113">
        <f t="shared" ca="1" si="3"/>
        <v>-3.9366146804617613E-2</v>
      </c>
      <c r="S40" s="113">
        <f t="shared" ca="1" si="4"/>
        <v>0.20865507026706903</v>
      </c>
      <c r="T40" s="113">
        <f t="shared" ca="1" si="4"/>
        <v>0.69601183742991246</v>
      </c>
      <c r="V40" s="187"/>
    </row>
    <row r="41" spans="1:31" x14ac:dyDescent="0.25">
      <c r="A41" s="80">
        <v>11</v>
      </c>
      <c r="B41" s="70">
        <f t="shared" ca="1" si="0"/>
        <v>-0.594076575252519</v>
      </c>
      <c r="C41" s="70">
        <f t="shared" ca="1" si="1"/>
        <v>-0.60621778264910708</v>
      </c>
      <c r="D41" s="70">
        <f t="shared" ca="1" si="1"/>
        <v>0.34999999999999992</v>
      </c>
      <c r="E41" s="70">
        <f t="shared" ca="1" si="2"/>
        <v>-0.65435244785437496</v>
      </c>
      <c r="G41" s="187"/>
      <c r="R41" s="113">
        <f t="shared" ca="1" si="3"/>
        <v>-4.8730154787005014E-2</v>
      </c>
      <c r="S41" s="113">
        <f t="shared" ca="1" si="4"/>
        <v>0.40658347400001305</v>
      </c>
      <c r="T41" s="113">
        <f t="shared" ca="1" si="4"/>
        <v>0.63937178761403424</v>
      </c>
      <c r="V41" s="187"/>
    </row>
    <row r="42" spans="1:31" x14ac:dyDescent="0.25">
      <c r="A42" s="80">
        <v>12</v>
      </c>
      <c r="B42" s="70">
        <f t="shared" ca="1" si="0"/>
        <v>-0.87122932756896176</v>
      </c>
      <c r="C42" s="70">
        <f t="shared" ca="1" si="1"/>
        <v>-0.67614807840234781</v>
      </c>
      <c r="D42" s="70">
        <f t="shared" ca="1" si="1"/>
        <v>0.18117333157176438</v>
      </c>
      <c r="E42" s="70">
        <f t="shared" ca="1" si="2"/>
        <v>-0.73706898856729053</v>
      </c>
      <c r="G42" s="189"/>
      <c r="O42" s="81" t="s">
        <v>86</v>
      </c>
      <c r="R42" s="113">
        <f t="shared" ca="1" si="3"/>
        <v>0.10846220558285552</v>
      </c>
      <c r="S42" s="113">
        <f t="shared" ca="1" si="4"/>
        <v>0.69106872807454711</v>
      </c>
      <c r="T42" s="113">
        <f t="shared" ca="1" si="4"/>
        <v>0.57180670485087715</v>
      </c>
      <c r="V42" s="189"/>
      <c r="AD42" s="81" t="s">
        <v>86</v>
      </c>
    </row>
    <row r="43" spans="1:31" x14ac:dyDescent="0.25">
      <c r="A43" s="80">
        <v>13</v>
      </c>
      <c r="B43" s="70">
        <f t="shared" ca="1" si="0"/>
        <v>-0.77463582385739815</v>
      </c>
      <c r="C43" s="70">
        <f t="shared" ca="1" si="1"/>
        <v>-0.7</v>
      </c>
      <c r="D43" s="70">
        <f t="shared" ca="1" si="1"/>
        <v>-2.2510205505144041E-16</v>
      </c>
      <c r="E43" s="70">
        <f t="shared" ca="1" si="2"/>
        <v>-0.78999999999999992</v>
      </c>
      <c r="H43" s="82" t="str">
        <f>D30</f>
        <v>X2</v>
      </c>
      <c r="I43" s="82"/>
      <c r="J43" s="82"/>
      <c r="K43" s="82"/>
      <c r="L43" s="82" t="str">
        <f>C30</f>
        <v>X1</v>
      </c>
      <c r="M43" s="82"/>
      <c r="N43" s="82"/>
      <c r="O43" s="82"/>
      <c r="R43" s="113">
        <f t="shared" ca="1" si="3"/>
        <v>-1.242120021304749E-2</v>
      </c>
      <c r="S43" s="113">
        <f t="shared" ca="1" si="4"/>
        <v>0.73897981810757862</v>
      </c>
      <c r="T43" s="113">
        <f t="shared" ca="1" si="4"/>
        <v>0.41113709088787936</v>
      </c>
      <c r="W43" s="82" t="str">
        <f>T30</f>
        <v>X2</v>
      </c>
      <c r="X43" s="82"/>
      <c r="Y43" s="82"/>
      <c r="Z43" s="82"/>
      <c r="AA43" s="82" t="str">
        <f>S30</f>
        <v>X1</v>
      </c>
      <c r="AB43" s="82"/>
      <c r="AC43" s="82"/>
      <c r="AD43" s="82"/>
    </row>
    <row r="44" spans="1:31" x14ac:dyDescent="0.25">
      <c r="A44" s="80">
        <v>14</v>
      </c>
      <c r="B44" s="70">
        <f t="shared" ca="1" si="0"/>
        <v>-0.7775609254561423</v>
      </c>
      <c r="C44" s="70">
        <f t="shared" ca="1" si="1"/>
        <v>-0.6761480784023477</v>
      </c>
      <c r="D44" s="70">
        <f t="shared" ca="1" si="1"/>
        <v>-0.18117333157176482</v>
      </c>
      <c r="E44" s="70">
        <f t="shared" ca="1" si="2"/>
        <v>-0.80953832119599634</v>
      </c>
      <c r="G44" s="177" t="str">
        <f>B30</f>
        <v>Y (Прогноз)</v>
      </c>
      <c r="P44" s="177" t="str">
        <f>D30</f>
        <v>X2</v>
      </c>
      <c r="R44" s="113">
        <f t="shared" ca="1" si="3"/>
        <v>-2.5852192209332214E-2</v>
      </c>
      <c r="S44" s="113">
        <f t="shared" ca="1" si="4"/>
        <v>0.81115480543094143</v>
      </c>
      <c r="T44" s="113">
        <f t="shared" ca="1" si="4"/>
        <v>0.24377034952346066</v>
      </c>
      <c r="V44" s="177" t="str">
        <f>R30</f>
        <v>Y (Прогноз)</v>
      </c>
      <c r="AE44" s="177" t="str">
        <f>T30</f>
        <v>X2</v>
      </c>
    </row>
    <row r="45" spans="1:31" x14ac:dyDescent="0.25">
      <c r="A45" s="80">
        <v>15</v>
      </c>
      <c r="B45" s="70">
        <f t="shared" ca="1" si="0"/>
        <v>-0.73221620130221821</v>
      </c>
      <c r="C45" s="70">
        <f t="shared" ca="1" si="1"/>
        <v>-0.60621778264910686</v>
      </c>
      <c r="D45" s="70">
        <f t="shared" ca="1" si="1"/>
        <v>-0.35000000000000037</v>
      </c>
      <c r="E45" s="70">
        <f t="shared" ca="1" si="2"/>
        <v>-0.79435244785437487</v>
      </c>
      <c r="G45" s="177"/>
      <c r="P45" s="177"/>
      <c r="R45" s="113">
        <f t="shared" ca="1" si="3"/>
        <v>-5.0234177983129957E-2</v>
      </c>
      <c r="S45" s="113">
        <f t="shared" ca="1" si="4"/>
        <v>0.81915198869321459</v>
      </c>
      <c r="T45" s="113">
        <f t="shared" ca="1" si="4"/>
        <v>5.7248506097805796E-2</v>
      </c>
      <c r="V45" s="177"/>
      <c r="AE45" s="177"/>
    </row>
    <row r="46" spans="1:31" x14ac:dyDescent="0.25">
      <c r="A46" s="80">
        <v>16</v>
      </c>
      <c r="B46" s="70">
        <f t="shared" ca="1" si="0"/>
        <v>-0.70128174786955</v>
      </c>
      <c r="C46" s="70">
        <f t="shared" ca="1" si="1"/>
        <v>-0.4949747468305829</v>
      </c>
      <c r="D46" s="70">
        <f t="shared" ca="1" si="1"/>
        <v>-0.49497474683058357</v>
      </c>
      <c r="E46" s="70">
        <f t="shared" ca="1" si="2"/>
        <v>-0.74547727214752479</v>
      </c>
      <c r="G46" s="177"/>
      <c r="P46" s="177"/>
      <c r="R46" s="113">
        <f t="shared" ca="1" si="3"/>
        <v>-3.5729963681890076E-2</v>
      </c>
      <c r="S46" s="113">
        <f t="shared" ca="1" si="4"/>
        <v>0.79614929434168591</v>
      </c>
      <c r="T46" s="113">
        <f t="shared" ca="1" si="4"/>
        <v>-0.12608216363850672</v>
      </c>
      <c r="V46" s="177"/>
      <c r="AE46" s="177"/>
    </row>
    <row r="47" spans="1:31" x14ac:dyDescent="0.25">
      <c r="A47" s="80">
        <v>17</v>
      </c>
      <c r="B47" s="70">
        <f t="shared" ca="1" si="0"/>
        <v>-0.77100627614053574</v>
      </c>
      <c r="C47" s="70">
        <f t="shared" ref="C47:D55" ca="1" si="5">OFFSET(C75,28*($E$28-1),)</f>
        <v>-0.3499999999999997</v>
      </c>
      <c r="D47" s="70">
        <f t="shared" ca="1" si="5"/>
        <v>-0.60621778264910708</v>
      </c>
      <c r="E47" s="70">
        <f t="shared" ca="1" si="2"/>
        <v>-0.66624355652982115</v>
      </c>
      <c r="G47" s="177"/>
      <c r="P47" s="177"/>
      <c r="R47" s="113">
        <f t="shared" ca="1" si="3"/>
        <v>8.4695638937635875E-2</v>
      </c>
      <c r="S47" s="113">
        <f t="shared" ca="1" si="4"/>
        <v>0.79133085651763446</v>
      </c>
      <c r="T47" s="113">
        <f t="shared" ca="1" si="4"/>
        <v>-0.28012325221549728</v>
      </c>
      <c r="V47" s="177"/>
      <c r="AE47" s="177"/>
    </row>
    <row r="48" spans="1:31" x14ac:dyDescent="0.25">
      <c r="A48" s="80">
        <v>18</v>
      </c>
      <c r="B48" s="70">
        <f t="shared" ca="1" si="0"/>
        <v>-0.45562597951377193</v>
      </c>
      <c r="C48" s="70">
        <f t="shared" ca="1" si="5"/>
        <v>-0.18117333157176443</v>
      </c>
      <c r="D48" s="70">
        <f t="shared" ca="1" si="5"/>
        <v>-0.67614807840234781</v>
      </c>
      <c r="E48" s="70">
        <f t="shared" ca="1" si="2"/>
        <v>-0.56205094778070464</v>
      </c>
      <c r="G48" s="177"/>
      <c r="P48" s="177"/>
      <c r="R48" s="113">
        <f t="shared" ca="1" si="3"/>
        <v>-8.6039487326974751E-2</v>
      </c>
      <c r="S48" s="113">
        <f t="shared" ref="S48:T55" ca="1" si="6">R104</f>
        <v>0.53281232581829008</v>
      </c>
      <c r="T48" s="113">
        <f t="shared" ca="1" si="6"/>
        <v>-0.47215217629090367</v>
      </c>
      <c r="V48" s="177"/>
      <c r="AE48" s="177"/>
    </row>
    <row r="49" spans="1:31" x14ac:dyDescent="0.25">
      <c r="A49" s="80">
        <v>19</v>
      </c>
      <c r="B49" s="70">
        <f t="shared" ca="1" si="0"/>
        <v>-0.46309771186865295</v>
      </c>
      <c r="C49" s="70">
        <f t="shared" ca="1" si="5"/>
        <v>-1.286405877654051E-16</v>
      </c>
      <c r="D49" s="70">
        <f t="shared" ca="1" si="5"/>
        <v>-0.7</v>
      </c>
      <c r="E49" s="70">
        <f t="shared" ca="1" si="2"/>
        <v>-0.44000000000000006</v>
      </c>
      <c r="G49" s="177"/>
      <c r="P49" s="177"/>
      <c r="R49" s="113">
        <f t="shared" ca="1" si="3"/>
        <v>1.8673393283242884E-2</v>
      </c>
      <c r="S49" s="113">
        <f t="shared" ca="1" si="6"/>
        <v>0.42669270622875921</v>
      </c>
      <c r="T49" s="113">
        <f t="shared" ca="1" si="6"/>
        <v>-0.57808779822035428</v>
      </c>
      <c r="V49" s="177"/>
      <c r="AE49" s="177"/>
    </row>
    <row r="50" spans="1:31" x14ac:dyDescent="0.25">
      <c r="A50" s="80">
        <v>20</v>
      </c>
      <c r="B50" s="70">
        <f t="shared" ca="1" si="0"/>
        <v>-0.21189093925060387</v>
      </c>
      <c r="C50" s="70">
        <f t="shared" ca="1" si="5"/>
        <v>0.18117333157176418</v>
      </c>
      <c r="D50" s="70">
        <f t="shared" ca="1" si="5"/>
        <v>-0.67614807840234781</v>
      </c>
      <c r="E50" s="70">
        <f t="shared" ca="1" si="2"/>
        <v>-0.30840828358023464</v>
      </c>
      <c r="G50" s="177"/>
      <c r="P50" s="177"/>
      <c r="R50" s="113">
        <f t="shared" ca="1" si="3"/>
        <v>-7.8029648112779876E-2</v>
      </c>
      <c r="S50" s="113">
        <f t="shared" ca="1" si="6"/>
        <v>0.15139433107351558</v>
      </c>
      <c r="T50" s="113">
        <f t="shared" ca="1" si="6"/>
        <v>-0.68465636425899024</v>
      </c>
      <c r="V50" s="177"/>
      <c r="AE50" s="177"/>
    </row>
    <row r="51" spans="1:31" x14ac:dyDescent="0.25">
      <c r="A51" s="80">
        <v>21</v>
      </c>
      <c r="B51" s="70">
        <f t="shared" ca="1" si="0"/>
        <v>-0.27994658325281374</v>
      </c>
      <c r="C51" s="70">
        <f t="shared" ca="1" si="5"/>
        <v>0.34999999999999953</v>
      </c>
      <c r="D51" s="70">
        <f t="shared" ca="1" si="5"/>
        <v>-0.60621778264910731</v>
      </c>
      <c r="E51" s="70">
        <f t="shared" ca="1" si="2"/>
        <v>-0.17624355652982179</v>
      </c>
      <c r="G51" s="177"/>
      <c r="P51" s="177"/>
      <c r="R51" s="113">
        <f t="shared" ca="1" si="3"/>
        <v>8.3838928014734651E-2</v>
      </c>
      <c r="S51" s="113">
        <f t="shared" ca="1" si="6"/>
        <v>4.3056500614892745E-2</v>
      </c>
      <c r="T51" s="113">
        <f t="shared" ca="1" si="6"/>
        <v>-0.69391592533056634</v>
      </c>
      <c r="V51" s="177"/>
      <c r="AE51" s="177"/>
    </row>
    <row r="52" spans="1:31" x14ac:dyDescent="0.25">
      <c r="A52" s="80">
        <v>22</v>
      </c>
      <c r="B52" s="70">
        <f t="shared" ca="1" si="0"/>
        <v>7.3364120666841073E-2</v>
      </c>
      <c r="C52" s="70">
        <f t="shared" ca="1" si="5"/>
        <v>0.49497474683058273</v>
      </c>
      <c r="D52" s="70">
        <f t="shared" ca="1" si="5"/>
        <v>-0.49497474683058379</v>
      </c>
      <c r="E52" s="70">
        <f t="shared" ca="1" si="2"/>
        <v>-5.2512626584708857E-2</v>
      </c>
      <c r="G52" s="177"/>
      <c r="P52" s="177"/>
      <c r="R52" s="113">
        <f t="shared" ca="1" si="3"/>
        <v>-0.10176531857398391</v>
      </c>
      <c r="S52" s="113">
        <f t="shared" ca="1" si="6"/>
        <v>-0.30744709603208936</v>
      </c>
      <c r="T52" s="113">
        <f t="shared" ca="1" si="6"/>
        <v>-0.7242381305056329</v>
      </c>
      <c r="V52" s="177"/>
      <c r="AE52" s="177"/>
    </row>
    <row r="53" spans="1:31" x14ac:dyDescent="0.25">
      <c r="A53" s="80">
        <v>23</v>
      </c>
      <c r="B53" s="70">
        <f t="shared" ca="1" si="0"/>
        <v>9.7104231700558041E-2</v>
      </c>
      <c r="C53" s="70">
        <f t="shared" ca="1" si="5"/>
        <v>0.60621778264910653</v>
      </c>
      <c r="D53" s="70">
        <f t="shared" ca="1" si="5"/>
        <v>-0.35000000000000081</v>
      </c>
      <c r="E53" s="70">
        <f t="shared" ca="1" si="2"/>
        <v>5.4352447854374389E-2</v>
      </c>
      <c r="G53" s="177"/>
      <c r="P53" s="177"/>
      <c r="R53" s="113">
        <f t="shared" ca="1" si="3"/>
        <v>-3.4562768721841219E-2</v>
      </c>
      <c r="S53" s="113">
        <f t="shared" ca="1" si="6"/>
        <v>-0.46488852045620427</v>
      </c>
      <c r="T53" s="113">
        <f t="shared" ca="1" si="6"/>
        <v>-0.65603037231580386</v>
      </c>
      <c r="V53" s="177"/>
      <c r="AE53" s="177"/>
    </row>
    <row r="54" spans="1:31" x14ac:dyDescent="0.25">
      <c r="A54" s="80">
        <v>24</v>
      </c>
      <c r="B54" s="70">
        <f t="shared" ca="1" si="0"/>
        <v>0.18266818528541556</v>
      </c>
      <c r="C54" s="70">
        <f t="shared" ca="1" si="5"/>
        <v>0.67614807840234747</v>
      </c>
      <c r="D54" s="70">
        <f t="shared" ca="1" si="5"/>
        <v>-0.18117333157176568</v>
      </c>
      <c r="E54" s="70">
        <f t="shared" ca="1" si="2"/>
        <v>0.13706898856729011</v>
      </c>
      <c r="G54" s="177"/>
      <c r="P54" s="177"/>
      <c r="R54" s="113">
        <f t="shared" ca="1" si="3"/>
        <v>-3.6864765590617576E-2</v>
      </c>
      <c r="S54" s="113">
        <f t="shared" ca="1" si="6"/>
        <v>-0.64095052007997944</v>
      </c>
      <c r="T54" s="113">
        <f t="shared" ca="1" si="6"/>
        <v>-0.55748721685243041</v>
      </c>
      <c r="V54" s="177"/>
      <c r="AE54" s="177"/>
    </row>
    <row r="55" spans="1:31" x14ac:dyDescent="0.25">
      <c r="A55" s="80">
        <v>25</v>
      </c>
      <c r="B55" s="70">
        <f t="shared" ca="1" si="0"/>
        <v>0.19459714366210212</v>
      </c>
      <c r="C55" s="70">
        <f t="shared" ca="1" si="5"/>
        <v>0.7</v>
      </c>
      <c r="D55" s="70">
        <f t="shared" ca="1" si="5"/>
        <v>-1.414970571267382E-15</v>
      </c>
      <c r="E55" s="70">
        <f t="shared" ca="1" si="2"/>
        <v>0.18999999999999967</v>
      </c>
      <c r="G55" s="177"/>
      <c r="P55" s="177"/>
      <c r="R55" s="113">
        <f t="shared" ca="1" si="3"/>
        <v>-3.7165703715661413E-3</v>
      </c>
      <c r="S55" s="113">
        <f t="shared" ca="1" si="6"/>
        <v>-0.75027625751680715</v>
      </c>
      <c r="T55" s="113">
        <f t="shared" ca="1" si="6"/>
        <v>-0.41436464500480347</v>
      </c>
      <c r="V55" s="177"/>
      <c r="AE55" s="177"/>
    </row>
    <row r="57" spans="1:31" x14ac:dyDescent="0.25">
      <c r="A57" t="s">
        <v>207</v>
      </c>
      <c r="R57" t="s">
        <v>133</v>
      </c>
    </row>
    <row r="58" spans="1:31" ht="38.25" x14ac:dyDescent="0.25">
      <c r="A58" s="88" t="s">
        <v>88</v>
      </c>
      <c r="B58" s="88" t="s">
        <v>69</v>
      </c>
      <c r="C58" s="88" t="s">
        <v>89</v>
      </c>
      <c r="D58" s="88" t="s">
        <v>68</v>
      </c>
      <c r="R58" s="88" t="s">
        <v>89</v>
      </c>
      <c r="S58" s="88" t="s">
        <v>68</v>
      </c>
      <c r="T58" s="88" t="s">
        <v>69</v>
      </c>
      <c r="W58" t="s">
        <v>135</v>
      </c>
    </row>
    <row r="59" spans="1:31" x14ac:dyDescent="0.25">
      <c r="A59" s="80">
        <v>1</v>
      </c>
      <c r="B59" s="70"/>
      <c r="C59" s="109">
        <f ca="1">RANDBETWEEN(B$21*10,B$22*10)/10</f>
        <v>0.1</v>
      </c>
      <c r="D59" s="109">
        <f ca="1">RANDBETWEEN(C$21*10,C$22*10)/10</f>
        <v>1.6</v>
      </c>
      <c r="R59" s="70">
        <f t="shared" ref="R59:S74" ca="1" si="7">C31</f>
        <v>0.7</v>
      </c>
      <c r="S59" s="70">
        <f t="shared" ca="1" si="7"/>
        <v>0</v>
      </c>
      <c r="T59" s="70">
        <f ca="1">B31-$C$26</f>
        <v>0.50459098658218826</v>
      </c>
      <c r="W59" s="18" t="s">
        <v>136</v>
      </c>
      <c r="X59" s="18" t="s">
        <v>3</v>
      </c>
    </row>
    <row r="60" spans="1:31" x14ac:dyDescent="0.25">
      <c r="A60" s="80">
        <v>2</v>
      </c>
      <c r="B60" s="70"/>
      <c r="C60" s="109">
        <f t="shared" ref="C60:D75" ca="1" si="8">RANDBETWEEN(B$21*10,B$22*10)/10</f>
        <v>0.8</v>
      </c>
      <c r="D60" s="109">
        <f t="shared" ca="1" si="8"/>
        <v>1.7</v>
      </c>
      <c r="R60" s="70">
        <f t="shared" ca="1" si="7"/>
        <v>0.67614807840234781</v>
      </c>
      <c r="S60" s="70">
        <f t="shared" ca="1" si="7"/>
        <v>0.18117333157176452</v>
      </c>
      <c r="T60" s="70">
        <f t="shared" ref="T60:T83" ca="1" si="9">B32-$C$26</f>
        <v>0.60747345171565192</v>
      </c>
      <c r="W60" s="67">
        <f>X19</f>
        <v>3</v>
      </c>
      <c r="X60" s="67">
        <f>W60*X15</f>
        <v>-10.499999999999998</v>
      </c>
    </row>
    <row r="61" spans="1:31" x14ac:dyDescent="0.25">
      <c r="A61" s="80">
        <v>3</v>
      </c>
      <c r="B61" s="70"/>
      <c r="C61" s="109">
        <f t="shared" ca="1" si="8"/>
        <v>1.3</v>
      </c>
      <c r="D61" s="109">
        <f t="shared" ca="1" si="8"/>
        <v>-0.5</v>
      </c>
      <c r="R61" s="70">
        <f t="shared" ca="1" si="7"/>
        <v>0.60621778264910708</v>
      </c>
      <c r="S61" s="70">
        <f t="shared" ca="1" si="7"/>
        <v>0.34999999999999992</v>
      </c>
      <c r="T61" s="70">
        <f t="shared" ca="1" si="9"/>
        <v>0.38829289084598773</v>
      </c>
      <c r="W61" s="67">
        <f>-W60</f>
        <v>-3</v>
      </c>
      <c r="X61" s="67">
        <f>W61*X15</f>
        <v>10.499999999999998</v>
      </c>
    </row>
    <row r="62" spans="1:31" x14ac:dyDescent="0.25">
      <c r="A62" s="80">
        <v>4</v>
      </c>
      <c r="B62" s="70"/>
      <c r="C62" s="109">
        <f t="shared" ca="1" si="8"/>
        <v>0.3</v>
      </c>
      <c r="D62" s="109">
        <f t="shared" ca="1" si="8"/>
        <v>-1.3</v>
      </c>
      <c r="R62" s="70">
        <f t="shared" ca="1" si="7"/>
        <v>0.49497474683058329</v>
      </c>
      <c r="S62" s="70">
        <f t="shared" ca="1" si="7"/>
        <v>0.49497474683058318</v>
      </c>
      <c r="T62" s="70">
        <f t="shared" ca="1" si="9"/>
        <v>0.61911793885090116</v>
      </c>
    </row>
    <row r="63" spans="1:31" x14ac:dyDescent="0.25">
      <c r="A63" s="80">
        <v>5</v>
      </c>
      <c r="B63" s="70"/>
      <c r="C63" s="109">
        <f t="shared" ca="1" si="8"/>
        <v>-0.4</v>
      </c>
      <c r="D63" s="109">
        <f t="shared" ca="1" si="8"/>
        <v>-0.1</v>
      </c>
      <c r="R63" s="70">
        <f t="shared" ca="1" si="7"/>
        <v>0.35000000000000003</v>
      </c>
      <c r="S63" s="70">
        <f t="shared" ca="1" si="7"/>
        <v>0.60621778264910697</v>
      </c>
      <c r="T63" s="70">
        <f t="shared" ca="1" si="9"/>
        <v>0.352299935598542</v>
      </c>
    </row>
    <row r="64" spans="1:31" x14ac:dyDescent="0.25">
      <c r="A64" s="80">
        <v>6</v>
      </c>
      <c r="B64" s="70"/>
      <c r="C64" s="109">
        <f t="shared" ca="1" si="8"/>
        <v>-1.4</v>
      </c>
      <c r="D64" s="109">
        <f t="shared" ca="1" si="8"/>
        <v>1.1000000000000001</v>
      </c>
      <c r="R64" s="70">
        <f t="shared" ca="1" si="7"/>
        <v>0.18117333157176466</v>
      </c>
      <c r="S64" s="70">
        <f t="shared" ca="1" si="7"/>
        <v>0.6761480784023477</v>
      </c>
      <c r="T64" s="70">
        <f t="shared" ca="1" si="9"/>
        <v>0.22630826612688526</v>
      </c>
    </row>
    <row r="65" spans="1:20" x14ac:dyDescent="0.25">
      <c r="A65" s="80">
        <v>7</v>
      </c>
      <c r="B65" s="70"/>
      <c r="C65" s="109">
        <f t="shared" ca="1" si="8"/>
        <v>-0.1</v>
      </c>
      <c r="D65" s="109">
        <f t="shared" ca="1" si="8"/>
        <v>-1.2</v>
      </c>
      <c r="R65" s="70">
        <f t="shared" ca="1" si="7"/>
        <v>1.9831141936932361E-16</v>
      </c>
      <c r="S65" s="70">
        <f t="shared" ca="1" si="7"/>
        <v>0.7</v>
      </c>
      <c r="T65" s="70">
        <f t="shared" ca="1" si="9"/>
        <v>0.18319353004730718</v>
      </c>
    </row>
    <row r="66" spans="1:20" x14ac:dyDescent="0.25">
      <c r="A66" s="80">
        <v>8</v>
      </c>
      <c r="B66" s="70"/>
      <c r="C66" s="109">
        <f t="shared" ca="1" si="8"/>
        <v>0.9</v>
      </c>
      <c r="D66" s="109">
        <f t="shared" ca="1" si="8"/>
        <v>1.8</v>
      </c>
      <c r="R66" s="70">
        <f t="shared" ca="1" si="7"/>
        <v>-0.18117333157176427</v>
      </c>
      <c r="S66" s="70">
        <f t="shared" ca="1" si="7"/>
        <v>0.67614807840234781</v>
      </c>
      <c r="T66" s="70">
        <f t="shared" ca="1" si="9"/>
        <v>-6.6067083503956903E-2</v>
      </c>
    </row>
    <row r="67" spans="1:20" x14ac:dyDescent="0.25">
      <c r="A67" s="80">
        <v>9</v>
      </c>
      <c r="B67" s="70"/>
      <c r="C67" s="109">
        <f t="shared" ca="1" si="8"/>
        <v>0.7</v>
      </c>
      <c r="D67" s="109">
        <f t="shared" ca="1" si="8"/>
        <v>1.7</v>
      </c>
      <c r="R67" s="70">
        <f t="shared" ca="1" si="7"/>
        <v>-0.34999999999999981</v>
      </c>
      <c r="S67" s="70">
        <f t="shared" ca="1" si="7"/>
        <v>0.60621778264910708</v>
      </c>
      <c r="T67" s="70">
        <f t="shared" ca="1" si="9"/>
        <v>-0.19025716593411296</v>
      </c>
    </row>
    <row r="68" spans="1:20" x14ac:dyDescent="0.25">
      <c r="A68" s="80">
        <v>10</v>
      </c>
      <c r="B68" s="70"/>
      <c r="C68" s="109">
        <f t="shared" ca="1" si="8"/>
        <v>-1.1000000000000001</v>
      </c>
      <c r="D68" s="109">
        <f t="shared" ca="1" si="8"/>
        <v>1.7</v>
      </c>
      <c r="R68" s="70">
        <f t="shared" ca="1" si="7"/>
        <v>-0.49497474683058318</v>
      </c>
      <c r="S68" s="70">
        <f t="shared" ca="1" si="7"/>
        <v>0.49497474683058329</v>
      </c>
      <c r="T68" s="70">
        <f t="shared" ca="1" si="9"/>
        <v>-0.19879413901058868</v>
      </c>
    </row>
    <row r="69" spans="1:20" x14ac:dyDescent="0.25">
      <c r="A69" s="80">
        <v>11</v>
      </c>
      <c r="B69" s="70"/>
      <c r="C69" s="109">
        <f t="shared" ca="1" si="8"/>
        <v>0.9</v>
      </c>
      <c r="D69" s="109">
        <f t="shared" ca="1" si="8"/>
        <v>1.9</v>
      </c>
      <c r="R69" s="70">
        <f t="shared" ca="1" si="7"/>
        <v>-0.60621778264910708</v>
      </c>
      <c r="S69" s="70">
        <f t="shared" ca="1" si="7"/>
        <v>0.34999999999999992</v>
      </c>
      <c r="T69" s="70">
        <f t="shared" ca="1" si="9"/>
        <v>-0.29407657525251901</v>
      </c>
    </row>
    <row r="70" spans="1:20" x14ac:dyDescent="0.25">
      <c r="A70" s="80">
        <v>12</v>
      </c>
      <c r="B70" s="70"/>
      <c r="C70" s="109">
        <f t="shared" ca="1" si="8"/>
        <v>-1.3</v>
      </c>
      <c r="D70" s="109">
        <f t="shared" ca="1" si="8"/>
        <v>1.8</v>
      </c>
      <c r="R70" s="70">
        <f t="shared" ca="1" si="7"/>
        <v>-0.67614807840234781</v>
      </c>
      <c r="S70" s="70">
        <f t="shared" ca="1" si="7"/>
        <v>0.18117333157176438</v>
      </c>
      <c r="T70" s="70">
        <f t="shared" ca="1" si="9"/>
        <v>-0.57122932756896172</v>
      </c>
    </row>
    <row r="71" spans="1:20" x14ac:dyDescent="0.25">
      <c r="A71" s="80">
        <v>13</v>
      </c>
      <c r="B71" s="70"/>
      <c r="C71" s="109">
        <f t="shared" ca="1" si="8"/>
        <v>0.8</v>
      </c>
      <c r="D71" s="109">
        <f t="shared" ca="1" si="8"/>
        <v>-1.9</v>
      </c>
      <c r="R71" s="70">
        <f t="shared" ca="1" si="7"/>
        <v>-0.7</v>
      </c>
      <c r="S71" s="70">
        <f t="shared" ca="1" si="7"/>
        <v>-2.2510205505144041E-16</v>
      </c>
      <c r="T71" s="70">
        <f t="shared" ca="1" si="9"/>
        <v>-0.47463582385739816</v>
      </c>
    </row>
    <row r="72" spans="1:20" x14ac:dyDescent="0.25">
      <c r="A72" s="80">
        <v>14</v>
      </c>
      <c r="B72" s="70"/>
      <c r="C72" s="109">
        <f t="shared" ca="1" si="8"/>
        <v>0.5</v>
      </c>
      <c r="D72" s="109">
        <f t="shared" ca="1" si="8"/>
        <v>-0.5</v>
      </c>
      <c r="R72" s="70">
        <f t="shared" ca="1" si="7"/>
        <v>-0.6761480784023477</v>
      </c>
      <c r="S72" s="70">
        <f t="shared" ca="1" si="7"/>
        <v>-0.18117333157176482</v>
      </c>
      <c r="T72" s="70">
        <f t="shared" ca="1" si="9"/>
        <v>-0.47756092545614232</v>
      </c>
    </row>
    <row r="73" spans="1:20" x14ac:dyDescent="0.25">
      <c r="A73" s="80">
        <v>15</v>
      </c>
      <c r="B73" s="70"/>
      <c r="C73" s="109">
        <f t="shared" ca="1" si="8"/>
        <v>-1</v>
      </c>
      <c r="D73" s="109">
        <f t="shared" ca="1" si="8"/>
        <v>-1.8</v>
      </c>
      <c r="R73" s="70">
        <f t="shared" ca="1" si="7"/>
        <v>-0.60621778264910686</v>
      </c>
      <c r="S73" s="70">
        <f t="shared" ca="1" si="7"/>
        <v>-0.35000000000000037</v>
      </c>
      <c r="T73" s="70">
        <f t="shared" ca="1" si="9"/>
        <v>-0.43221620130221822</v>
      </c>
    </row>
    <row r="74" spans="1:20" x14ac:dyDescent="0.25">
      <c r="A74" s="80">
        <v>16</v>
      </c>
      <c r="B74" s="70"/>
      <c r="C74" s="109">
        <f t="shared" ca="1" si="8"/>
        <v>-1.1000000000000001</v>
      </c>
      <c r="D74" s="109">
        <f t="shared" ca="1" si="8"/>
        <v>-0.3</v>
      </c>
      <c r="R74" s="70">
        <f t="shared" ca="1" si="7"/>
        <v>-0.4949747468305829</v>
      </c>
      <c r="S74" s="70">
        <f t="shared" ca="1" si="7"/>
        <v>-0.49497474683058357</v>
      </c>
      <c r="T74" s="70">
        <f t="shared" ca="1" si="9"/>
        <v>-0.40128174786955001</v>
      </c>
    </row>
    <row r="75" spans="1:20" x14ac:dyDescent="0.25">
      <c r="A75" s="80">
        <v>17</v>
      </c>
      <c r="B75" s="70"/>
      <c r="C75" s="109">
        <f t="shared" ca="1" si="8"/>
        <v>-0.5</v>
      </c>
      <c r="D75" s="109">
        <f t="shared" ca="1" si="8"/>
        <v>-1.7</v>
      </c>
      <c r="R75" s="70">
        <f t="shared" ref="R75:S83" ca="1" si="10">C47</f>
        <v>-0.3499999999999997</v>
      </c>
      <c r="S75" s="70">
        <f t="shared" ca="1" si="10"/>
        <v>-0.60621778264910708</v>
      </c>
      <c r="T75" s="70">
        <f t="shared" ca="1" si="9"/>
        <v>-0.47100627614053575</v>
      </c>
    </row>
    <row r="76" spans="1:20" x14ac:dyDescent="0.25">
      <c r="A76" s="80">
        <v>18</v>
      </c>
      <c r="B76" s="70"/>
      <c r="C76" s="109">
        <f t="shared" ref="C76:D83" ca="1" si="11">RANDBETWEEN(B$21*10,B$22*10)/10</f>
        <v>1.3</v>
      </c>
      <c r="D76" s="109">
        <f t="shared" ca="1" si="11"/>
        <v>2</v>
      </c>
      <c r="R76" s="70">
        <f t="shared" ca="1" si="10"/>
        <v>-0.18117333157176443</v>
      </c>
      <c r="S76" s="70">
        <f t="shared" ca="1" si="10"/>
        <v>-0.67614807840234781</v>
      </c>
      <c r="T76" s="70">
        <f t="shared" ca="1" si="9"/>
        <v>-0.15562597951377194</v>
      </c>
    </row>
    <row r="77" spans="1:20" x14ac:dyDescent="0.25">
      <c r="A77" s="80">
        <v>19</v>
      </c>
      <c r="B77" s="70"/>
      <c r="C77" s="109">
        <f t="shared" ca="1" si="11"/>
        <v>1.4</v>
      </c>
      <c r="D77" s="109">
        <f t="shared" ca="1" si="11"/>
        <v>-2</v>
      </c>
      <c r="R77" s="70">
        <f t="shared" ca="1" si="10"/>
        <v>-1.286405877654051E-16</v>
      </c>
      <c r="S77" s="70">
        <f t="shared" ca="1" si="10"/>
        <v>-0.7</v>
      </c>
      <c r="T77" s="70">
        <f t="shared" ca="1" si="9"/>
        <v>-0.16309771186865296</v>
      </c>
    </row>
    <row r="78" spans="1:20" x14ac:dyDescent="0.25">
      <c r="A78" s="80">
        <v>20</v>
      </c>
      <c r="B78" s="70"/>
      <c r="C78" s="109">
        <f t="shared" ca="1" si="11"/>
        <v>-1.5</v>
      </c>
      <c r="D78" s="109">
        <f t="shared" ca="1" si="11"/>
        <v>0</v>
      </c>
      <c r="R78" s="70">
        <f t="shared" ca="1" si="10"/>
        <v>0.18117333157176418</v>
      </c>
      <c r="S78" s="70">
        <f t="shared" ca="1" si="10"/>
        <v>-0.67614807840234781</v>
      </c>
      <c r="T78" s="70">
        <f t="shared" ca="1" si="9"/>
        <v>8.8109060749396118E-2</v>
      </c>
    </row>
    <row r="79" spans="1:20" x14ac:dyDescent="0.25">
      <c r="A79" s="80">
        <v>21</v>
      </c>
      <c r="B79" s="70"/>
      <c r="C79" s="109">
        <f t="shared" ca="1" si="11"/>
        <v>0.7</v>
      </c>
      <c r="D79" s="109">
        <f t="shared" ca="1" si="11"/>
        <v>-1.3</v>
      </c>
      <c r="R79" s="70">
        <f t="shared" ca="1" si="10"/>
        <v>0.34999999999999953</v>
      </c>
      <c r="S79" s="70">
        <f t="shared" ca="1" si="10"/>
        <v>-0.60621778264910731</v>
      </c>
      <c r="T79" s="70">
        <f t="shared" ca="1" si="9"/>
        <v>2.0053416747186248E-2</v>
      </c>
    </row>
    <row r="80" spans="1:20" x14ac:dyDescent="0.25">
      <c r="A80" s="80">
        <v>22</v>
      </c>
      <c r="B80" s="70"/>
      <c r="C80" s="109">
        <f t="shared" ca="1" si="11"/>
        <v>-0.5</v>
      </c>
      <c r="D80" s="109">
        <f t="shared" ca="1" si="11"/>
        <v>-1.7</v>
      </c>
      <c r="R80" s="70">
        <f t="shared" ca="1" si="10"/>
        <v>0.49497474683058273</v>
      </c>
      <c r="S80" s="70">
        <f t="shared" ca="1" si="10"/>
        <v>-0.49497474683058379</v>
      </c>
      <c r="T80" s="70">
        <f t="shared" ca="1" si="9"/>
        <v>0.37336412066684105</v>
      </c>
    </row>
    <row r="81" spans="1:20" x14ac:dyDescent="0.25">
      <c r="A81" s="80">
        <v>23</v>
      </c>
      <c r="B81" s="70"/>
      <c r="C81" s="109">
        <f t="shared" ca="1" si="11"/>
        <v>-0.6</v>
      </c>
      <c r="D81" s="109">
        <f t="shared" ca="1" si="11"/>
        <v>-1.2</v>
      </c>
      <c r="R81" s="70">
        <f t="shared" ca="1" si="10"/>
        <v>0.60621778264910653</v>
      </c>
      <c r="S81" s="70">
        <f t="shared" ca="1" si="10"/>
        <v>-0.35000000000000081</v>
      </c>
      <c r="T81" s="70">
        <f t="shared" ca="1" si="9"/>
        <v>0.39710423170055803</v>
      </c>
    </row>
    <row r="82" spans="1:20" x14ac:dyDescent="0.25">
      <c r="A82" s="80">
        <v>24</v>
      </c>
      <c r="B82" s="70"/>
      <c r="C82" s="109">
        <f t="shared" ca="1" si="11"/>
        <v>-2</v>
      </c>
      <c r="D82" s="109">
        <f t="shared" ca="1" si="11"/>
        <v>1.5</v>
      </c>
      <c r="R82" s="70">
        <f t="shared" ca="1" si="10"/>
        <v>0.67614807840234747</v>
      </c>
      <c r="S82" s="70">
        <f t="shared" ca="1" si="10"/>
        <v>-0.18117333157176568</v>
      </c>
      <c r="T82" s="70">
        <f t="shared" ca="1" si="9"/>
        <v>0.48266818528541555</v>
      </c>
    </row>
    <row r="83" spans="1:20" x14ac:dyDescent="0.25">
      <c r="A83" s="80">
        <v>25</v>
      </c>
      <c r="B83" s="70"/>
      <c r="C83" s="109">
        <f t="shared" ca="1" si="11"/>
        <v>-0.7</v>
      </c>
      <c r="D83" s="109">
        <f t="shared" ca="1" si="11"/>
        <v>0.6</v>
      </c>
      <c r="R83" s="70">
        <f t="shared" ca="1" si="10"/>
        <v>0.7</v>
      </c>
      <c r="S83" s="70">
        <f t="shared" ca="1" si="10"/>
        <v>-1.414970571267382E-15</v>
      </c>
      <c r="T83" s="70">
        <f t="shared" ca="1" si="9"/>
        <v>0.49459714366210211</v>
      </c>
    </row>
    <row r="85" spans="1:20" x14ac:dyDescent="0.25">
      <c r="A85" t="s">
        <v>208</v>
      </c>
      <c r="E85" t="s">
        <v>152</v>
      </c>
      <c r="R85" t="s">
        <v>134</v>
      </c>
    </row>
    <row r="86" spans="1:20" ht="38.25" x14ac:dyDescent="0.25">
      <c r="A86" s="88" t="s">
        <v>88</v>
      </c>
      <c r="B86" s="88" t="s">
        <v>69</v>
      </c>
      <c r="C86" s="88" t="s">
        <v>89</v>
      </c>
      <c r="D86" s="88" t="s">
        <v>68</v>
      </c>
      <c r="E86" s="18">
        <f>2*PI()/(A111-1)</f>
        <v>0.26179938779914941</v>
      </c>
      <c r="F86" s="19"/>
      <c r="R86" s="88" t="s">
        <v>89</v>
      </c>
      <c r="S86" s="88" t="s">
        <v>68</v>
      </c>
      <c r="T86" s="88" t="s">
        <v>69</v>
      </c>
    </row>
    <row r="87" spans="1:20" x14ac:dyDescent="0.25">
      <c r="A87" s="80">
        <v>1</v>
      </c>
      <c r="B87" s="70"/>
      <c r="C87" s="70">
        <f t="shared" ref="C87:C111" si="12">$F$21*COS(E87)</f>
        <v>0.7</v>
      </c>
      <c r="D87" s="70">
        <f t="shared" ref="D87:D111" si="13">$F$21*SIN(E87)</f>
        <v>0</v>
      </c>
      <c r="E87" s="67">
        <v>0</v>
      </c>
      <c r="R87" s="67">
        <f t="array" aca="1" ref="R87:T87" ca="1">TRANSPOSE(MMULT($R$24:$T$26,TRANSPOSE(R59:T59)))</f>
        <v>-0.75593193770812994</v>
      </c>
      <c r="S87" s="67">
        <f ca="1"/>
        <v>-0.41598055363089426</v>
      </c>
      <c r="T87" s="67">
        <f ca="1"/>
        <v>-1.1796113502026029E-2</v>
      </c>
    </row>
    <row r="88" spans="1:20" x14ac:dyDescent="0.25">
      <c r="A88" s="80">
        <v>2</v>
      </c>
      <c r="B88" s="70"/>
      <c r="C88" s="70">
        <f t="shared" si="12"/>
        <v>0.67614807840234781</v>
      </c>
      <c r="D88" s="70">
        <f t="shared" si="13"/>
        <v>0.18117333157176452</v>
      </c>
      <c r="E88" s="67">
        <f>E87+$E$86</f>
        <v>0.26179938779914941</v>
      </c>
      <c r="R88" s="67">
        <f t="array" aca="1" ref="R88:T88" ca="1">TRANSPOSE(MMULT($R$24:$T$26,TRANSPOSE(R60:T60)))</f>
        <v>-0.88467444219587288</v>
      </c>
      <c r="S88" s="67">
        <f ca="1"/>
        <v>-0.26477596002772708</v>
      </c>
      <c r="T88" s="67">
        <f ca="1"/>
        <v>-7.9175860311998414E-2</v>
      </c>
    </row>
    <row r="89" spans="1:20" x14ac:dyDescent="0.25">
      <c r="A89" s="80">
        <v>3</v>
      </c>
      <c r="B89" s="70"/>
      <c r="C89" s="70">
        <f t="shared" si="12"/>
        <v>0.60621778264910708</v>
      </c>
      <c r="D89" s="70">
        <f t="shared" si="13"/>
        <v>0.34999999999999992</v>
      </c>
      <c r="E89" s="67">
        <f t="shared" ref="E89:E111" si="14">E88+$E$86</f>
        <v>0.52359877559829882</v>
      </c>
      <c r="R89" s="67">
        <f t="array" aca="1" ref="R89:T89" ca="1">TRANSPOSE(MMULT($R$24:$T$26,TRANSPOSE(R61:T61)))</f>
        <v>-0.79429506439782549</v>
      </c>
      <c r="S89" s="67">
        <f ca="1"/>
        <v>-5.0146527727695067E-2</v>
      </c>
      <c r="T89" s="67">
        <f ca="1"/>
        <v>8.5744069833685821E-2</v>
      </c>
    </row>
    <row r="90" spans="1:20" x14ac:dyDescent="0.25">
      <c r="A90" s="80">
        <v>4</v>
      </c>
      <c r="B90" s="70"/>
      <c r="C90" s="70">
        <f t="shared" si="12"/>
        <v>0.49497474683058329</v>
      </c>
      <c r="D90" s="70">
        <f t="shared" si="13"/>
        <v>0.49497474683058318</v>
      </c>
      <c r="E90" s="67">
        <f t="shared" si="14"/>
        <v>0.78539816339744828</v>
      </c>
      <c r="R90" s="67">
        <f t="array" aca="1" ref="R90:T90" ca="1">TRANSPOSE(MMULT($R$24:$T$26,TRANSPOSE(R62:T62)))</f>
        <v>-0.9194263800571435</v>
      </c>
      <c r="S90" s="67">
        <f ca="1"/>
        <v>9.0860139148375513E-2</v>
      </c>
      <c r="T90" s="67">
        <f ca="1"/>
        <v>-0.1403801587687632</v>
      </c>
    </row>
    <row r="91" spans="1:20" x14ac:dyDescent="0.25">
      <c r="A91" s="80">
        <v>5</v>
      </c>
      <c r="B91" s="70"/>
      <c r="C91" s="70">
        <f t="shared" si="12"/>
        <v>0.35000000000000003</v>
      </c>
      <c r="D91" s="70">
        <f t="shared" si="13"/>
        <v>0.60621778264910697</v>
      </c>
      <c r="E91" s="67">
        <f t="shared" si="14"/>
        <v>1.0471975511965976</v>
      </c>
      <c r="R91" s="67">
        <f t="array" aca="1" ref="R91:T91" ca="1">TRANSPOSE(MMULT($R$24:$T$26,TRANSPOSE(R63:T63)))</f>
        <v>-0.72415298468633527</v>
      </c>
      <c r="S91" s="67">
        <f ca="1"/>
        <v>0.29931692988158259</v>
      </c>
      <c r="T91" s="67">
        <f ca="1"/>
        <v>1.127274939279177E-2</v>
      </c>
    </row>
    <row r="92" spans="1:20" x14ac:dyDescent="0.25">
      <c r="A92" s="80">
        <v>6</v>
      </c>
      <c r="B92" s="70"/>
      <c r="C92" s="70">
        <f t="shared" si="12"/>
        <v>0.18117333157176466</v>
      </c>
      <c r="D92" s="70">
        <f t="shared" si="13"/>
        <v>0.6761480784023477</v>
      </c>
      <c r="E92" s="67">
        <f t="shared" si="14"/>
        <v>1.308996938995747</v>
      </c>
      <c r="R92" s="67">
        <f t="array" aca="1" ref="R92:T92" ca="1">TRANSPOSE(MMULT($R$24:$T$26,TRANSPOSE(R64:T64)))</f>
        <v>-0.57281259513127702</v>
      </c>
      <c r="S92" s="67">
        <f ca="1"/>
        <v>0.46072352791576437</v>
      </c>
      <c r="T92" s="67">
        <f ca="1"/>
        <v>2.8896245451279279E-2</v>
      </c>
    </row>
    <row r="93" spans="1:20" x14ac:dyDescent="0.25">
      <c r="A93" s="80">
        <v>7</v>
      </c>
      <c r="B93" s="70"/>
      <c r="C93" s="70">
        <f t="shared" si="12"/>
        <v>1.9831141936932361E-16</v>
      </c>
      <c r="D93" s="70">
        <f t="shared" si="13"/>
        <v>0.7</v>
      </c>
      <c r="E93" s="67">
        <f t="shared" si="14"/>
        <v>1.5707963267948963</v>
      </c>
      <c r="R93" s="67">
        <f t="array" aca="1" ref="R93:T93" ca="1">TRANSPOSE(MMULT($R$24:$T$26,TRANSPOSE(R65:T65)))</f>
        <v>-0.43806526048143751</v>
      </c>
      <c r="S93" s="67">
        <f ca="1"/>
        <v>0.57483849700530332</v>
      </c>
      <c r="T93" s="67">
        <f ca="1"/>
        <v>-3.4919899358497528E-2</v>
      </c>
    </row>
    <row r="94" spans="1:20" x14ac:dyDescent="0.25">
      <c r="A94" s="80">
        <v>8</v>
      </c>
      <c r="B94" s="70"/>
      <c r="C94" s="70">
        <f t="shared" si="12"/>
        <v>-0.18117333157176427</v>
      </c>
      <c r="D94" s="70">
        <f t="shared" si="13"/>
        <v>0.67614807840234781</v>
      </c>
      <c r="E94" s="67">
        <f t="shared" si="14"/>
        <v>1.8325957145940457</v>
      </c>
      <c r="R94" s="67">
        <f t="array" aca="1" ref="R94:T94" ca="1">TRANSPOSE(MMULT($R$24:$T$26,TRANSPOSE(R66:T66)))</f>
        <v>-0.16386824877278705</v>
      </c>
      <c r="S94" s="67">
        <f ca="1"/>
        <v>0.68109238777348424</v>
      </c>
      <c r="T94" s="67">
        <f ca="1"/>
        <v>6.0209765685249064E-2</v>
      </c>
    </row>
    <row r="95" spans="1:20" x14ac:dyDescent="0.25">
      <c r="A95" s="80">
        <v>9</v>
      </c>
      <c r="B95" s="70"/>
      <c r="C95" s="70">
        <f t="shared" si="12"/>
        <v>-0.34999999999999981</v>
      </c>
      <c r="D95" s="70">
        <f t="shared" si="13"/>
        <v>0.60621778264910708</v>
      </c>
      <c r="E95" s="67">
        <f t="shared" si="14"/>
        <v>2.0943951023931953</v>
      </c>
      <c r="R95" s="67">
        <f t="array" aca="1" ref="R95:T95" ca="1">TRANSPOSE(MMULT($R$24:$T$26,TRANSPOSE(R67:T67)))</f>
        <v>5.3264602334457428E-2</v>
      </c>
      <c r="S95" s="67">
        <f ca="1"/>
        <v>0.72143624045895194</v>
      </c>
      <c r="T95" s="67">
        <f ca="1"/>
        <v>5.3762647627193572E-2</v>
      </c>
    </row>
    <row r="96" spans="1:20" x14ac:dyDescent="0.25">
      <c r="A96" s="80">
        <v>10</v>
      </c>
      <c r="B96" s="70"/>
      <c r="C96" s="70">
        <f t="shared" si="12"/>
        <v>-0.49497474683058318</v>
      </c>
      <c r="D96" s="70">
        <f t="shared" si="13"/>
        <v>0.49497474683058329</v>
      </c>
      <c r="E96" s="67">
        <f t="shared" si="14"/>
        <v>2.3561944901923448</v>
      </c>
      <c r="R96" s="67">
        <f t="array" aca="1" ref="R96:T96" ca="1">TRANSPOSE(MMULT($R$24:$T$26,TRANSPOSE(R68:T68)))</f>
        <v>0.20865507026706903</v>
      </c>
      <c r="S96" s="67">
        <f ca="1"/>
        <v>0.69601183742991246</v>
      </c>
      <c r="T96" s="67">
        <f ca="1"/>
        <v>-3.9366146804617613E-2</v>
      </c>
    </row>
    <row r="97" spans="1:20" x14ac:dyDescent="0.25">
      <c r="A97" s="80">
        <v>11</v>
      </c>
      <c r="B97" s="70"/>
      <c r="C97" s="70">
        <f t="shared" si="12"/>
        <v>-0.60621778264910708</v>
      </c>
      <c r="D97" s="70">
        <f t="shared" si="13"/>
        <v>0.34999999999999992</v>
      </c>
      <c r="E97" s="67">
        <f t="shared" si="14"/>
        <v>2.6179938779914944</v>
      </c>
      <c r="R97" s="67">
        <f t="array" aca="1" ref="R97:T97" ca="1">TRANSPOSE(MMULT($R$24:$T$26,TRANSPOSE(R69:T69)))</f>
        <v>0.40658347400001305</v>
      </c>
      <c r="S97" s="67">
        <f ca="1"/>
        <v>0.63937178761403424</v>
      </c>
      <c r="T97" s="67">
        <f ca="1"/>
        <v>-4.8730154787005014E-2</v>
      </c>
    </row>
    <row r="98" spans="1:20" x14ac:dyDescent="0.25">
      <c r="A98" s="80">
        <v>12</v>
      </c>
      <c r="B98" s="70"/>
      <c r="C98" s="70">
        <f t="shared" si="12"/>
        <v>-0.67614807840234781</v>
      </c>
      <c r="D98" s="70">
        <f t="shared" si="13"/>
        <v>0.18117333157176438</v>
      </c>
      <c r="E98" s="67">
        <f t="shared" si="14"/>
        <v>2.879793265790644</v>
      </c>
      <c r="R98" s="67">
        <f t="array" aca="1" ref="R98:T98" ca="1">TRANSPOSE(MMULT($R$24:$T$26,TRANSPOSE(R70:T70)))</f>
        <v>0.69106872807454711</v>
      </c>
      <c r="S98" s="67">
        <f ca="1"/>
        <v>0.57180670485087715</v>
      </c>
      <c r="T98" s="67">
        <f ca="1"/>
        <v>0.10846220558285552</v>
      </c>
    </row>
    <row r="99" spans="1:20" x14ac:dyDescent="0.25">
      <c r="A99" s="80">
        <v>13</v>
      </c>
      <c r="B99" s="70"/>
      <c r="C99" s="70">
        <f t="shared" si="12"/>
        <v>-0.7</v>
      </c>
      <c r="D99" s="70">
        <f t="shared" si="13"/>
        <v>-2.2510205505144041E-16</v>
      </c>
      <c r="E99" s="67">
        <f t="shared" si="14"/>
        <v>3.1415926535897936</v>
      </c>
      <c r="R99" s="67">
        <f t="array" aca="1" ref="R99:T99" ca="1">TRANSPOSE(MMULT($R$24:$T$26,TRANSPOSE(R71:T71)))</f>
        <v>0.73897981810757862</v>
      </c>
      <c r="S99" s="67">
        <f ca="1"/>
        <v>0.41113709088787936</v>
      </c>
      <c r="T99" s="67">
        <f ca="1"/>
        <v>-1.242120021304749E-2</v>
      </c>
    </row>
    <row r="100" spans="1:20" x14ac:dyDescent="0.25">
      <c r="A100" s="80">
        <v>14</v>
      </c>
      <c r="B100" s="70"/>
      <c r="C100" s="70">
        <f t="shared" si="12"/>
        <v>-0.6761480784023477</v>
      </c>
      <c r="D100" s="70">
        <f t="shared" si="13"/>
        <v>-0.18117333157176482</v>
      </c>
      <c r="E100" s="67">
        <f t="shared" si="14"/>
        <v>3.4033920413889431</v>
      </c>
      <c r="R100" s="67">
        <f t="array" aca="1" ref="R100:T100" ca="1">TRANSPOSE(MMULT($R$24:$T$26,TRANSPOSE(R72:T72)))</f>
        <v>0.81115480543094143</v>
      </c>
      <c r="S100" s="67">
        <f ca="1"/>
        <v>0.24377034952346066</v>
      </c>
      <c r="T100" s="67">
        <f ca="1"/>
        <v>-2.5852192209332214E-2</v>
      </c>
    </row>
    <row r="101" spans="1:20" x14ac:dyDescent="0.25">
      <c r="A101" s="80">
        <v>15</v>
      </c>
      <c r="B101" s="70"/>
      <c r="C101" s="70">
        <f t="shared" si="12"/>
        <v>-0.60621778264910686</v>
      </c>
      <c r="D101" s="70">
        <f t="shared" si="13"/>
        <v>-0.35000000000000037</v>
      </c>
      <c r="E101" s="67">
        <f t="shared" si="14"/>
        <v>3.6651914291880927</v>
      </c>
      <c r="R101" s="67">
        <f t="array" aca="1" ref="R101:T101" ca="1">TRANSPOSE(MMULT($R$24:$T$26,TRANSPOSE(R73:T73)))</f>
        <v>0.81915198869321459</v>
      </c>
      <c r="S101" s="67">
        <f ca="1"/>
        <v>5.7248506097805796E-2</v>
      </c>
      <c r="T101" s="67">
        <f ca="1"/>
        <v>-5.0234177983129957E-2</v>
      </c>
    </row>
    <row r="102" spans="1:20" x14ac:dyDescent="0.25">
      <c r="A102" s="80">
        <v>16</v>
      </c>
      <c r="B102" s="70"/>
      <c r="C102" s="70">
        <f t="shared" si="12"/>
        <v>-0.4949747468305829</v>
      </c>
      <c r="D102" s="70">
        <f t="shared" si="13"/>
        <v>-0.49497474683058357</v>
      </c>
      <c r="E102" s="67">
        <f t="shared" si="14"/>
        <v>3.9269908169872423</v>
      </c>
      <c r="R102" s="67">
        <f t="array" aca="1" ref="R102:T102" ca="1">TRANSPOSE(MMULT($R$24:$T$26,TRANSPOSE(R74:T74)))</f>
        <v>0.79614929434168591</v>
      </c>
      <c r="S102" s="67">
        <f ca="1"/>
        <v>-0.12608216363850672</v>
      </c>
      <c r="T102" s="67">
        <f ca="1"/>
        <v>-3.5729963681890076E-2</v>
      </c>
    </row>
    <row r="103" spans="1:20" x14ac:dyDescent="0.25">
      <c r="A103" s="80">
        <v>17</v>
      </c>
      <c r="B103" s="70"/>
      <c r="C103" s="70">
        <f t="shared" si="12"/>
        <v>-0.3499999999999997</v>
      </c>
      <c r="D103" s="70">
        <f t="shared" si="13"/>
        <v>-0.60621778264910708</v>
      </c>
      <c r="E103" s="67">
        <f t="shared" si="14"/>
        <v>4.1887902047863914</v>
      </c>
      <c r="R103" s="67">
        <f t="array" aca="1" ref="R103:T103" ca="1">TRANSPOSE(MMULT($R$24:$T$26,TRANSPOSE(R75:T75)))</f>
        <v>0.79133085651763446</v>
      </c>
      <c r="S103" s="67">
        <f ca="1"/>
        <v>-0.28012325221549728</v>
      </c>
      <c r="T103" s="67">
        <f ca="1"/>
        <v>8.4695638937635875E-2</v>
      </c>
    </row>
    <row r="104" spans="1:20" x14ac:dyDescent="0.25">
      <c r="A104" s="80">
        <v>18</v>
      </c>
      <c r="B104" s="70"/>
      <c r="C104" s="70">
        <f t="shared" si="12"/>
        <v>-0.18117333157176443</v>
      </c>
      <c r="D104" s="70">
        <f t="shared" si="13"/>
        <v>-0.67614807840234781</v>
      </c>
      <c r="E104" s="67">
        <f t="shared" si="14"/>
        <v>4.4505895925855405</v>
      </c>
      <c r="R104" s="67">
        <f t="array" aca="1" ref="R104:T104" ca="1">TRANSPOSE(MMULT($R$24:$T$26,TRANSPOSE(R76:T76)))</f>
        <v>0.53281232581829008</v>
      </c>
      <c r="S104" s="67">
        <f ca="1"/>
        <v>-0.47215217629090367</v>
      </c>
      <c r="T104" s="67">
        <f ca="1"/>
        <v>-8.6039487326974751E-2</v>
      </c>
    </row>
    <row r="105" spans="1:20" x14ac:dyDescent="0.25">
      <c r="A105" s="80">
        <v>19</v>
      </c>
      <c r="B105" s="70"/>
      <c r="C105" s="70">
        <f t="shared" si="12"/>
        <v>-1.286405877654051E-16</v>
      </c>
      <c r="D105" s="70">
        <f t="shared" si="13"/>
        <v>-0.7</v>
      </c>
      <c r="E105" s="67">
        <f t="shared" si="14"/>
        <v>4.7123889803846897</v>
      </c>
      <c r="R105" s="67">
        <f t="array" aca="1" ref="R105:T105" ca="1">TRANSPOSE(MMULT($R$24:$T$26,TRANSPOSE(R77:T77)))</f>
        <v>0.42669270622875921</v>
      </c>
      <c r="S105" s="67">
        <f ca="1"/>
        <v>-0.57808779822035428</v>
      </c>
      <c r="T105" s="67">
        <f ca="1"/>
        <v>1.8673393283242884E-2</v>
      </c>
    </row>
    <row r="106" spans="1:20" x14ac:dyDescent="0.25">
      <c r="A106" s="80">
        <v>20</v>
      </c>
      <c r="B106" s="70"/>
      <c r="C106" s="70">
        <f t="shared" si="12"/>
        <v>0.18117333157176418</v>
      </c>
      <c r="D106" s="70">
        <f t="shared" si="13"/>
        <v>-0.67614807840234781</v>
      </c>
      <c r="E106" s="67">
        <f t="shared" si="14"/>
        <v>4.9741883681838388</v>
      </c>
      <c r="R106" s="67">
        <f t="array" aca="1" ref="R106:T106" ca="1">TRANSPOSE(MMULT($R$24:$T$26,TRANSPOSE(R78:T78)))</f>
        <v>0.15139433107351558</v>
      </c>
      <c r="S106" s="67">
        <f ca="1"/>
        <v>-0.68465636425899024</v>
      </c>
      <c r="T106" s="67">
        <f ca="1"/>
        <v>-7.8029648112779876E-2</v>
      </c>
    </row>
    <row r="107" spans="1:20" x14ac:dyDescent="0.25">
      <c r="A107" s="80">
        <v>21</v>
      </c>
      <c r="B107" s="70"/>
      <c r="C107" s="70">
        <f t="shared" si="12"/>
        <v>0.34999999999999953</v>
      </c>
      <c r="D107" s="70">
        <f t="shared" si="13"/>
        <v>-0.60621778264910731</v>
      </c>
      <c r="E107" s="67">
        <f t="shared" si="14"/>
        <v>5.2359877559829879</v>
      </c>
      <c r="R107" s="67">
        <f t="array" aca="1" ref="R107:T107" ca="1">TRANSPOSE(MMULT($R$24:$T$26,TRANSPOSE(R79:T79)))</f>
        <v>4.3056500614892745E-2</v>
      </c>
      <c r="S107" s="67">
        <f ca="1"/>
        <v>-0.69391592533056634</v>
      </c>
      <c r="T107" s="67">
        <f ca="1"/>
        <v>8.3838928014734651E-2</v>
      </c>
    </row>
    <row r="108" spans="1:20" x14ac:dyDescent="0.25">
      <c r="A108" s="80">
        <v>22</v>
      </c>
      <c r="B108" s="70"/>
      <c r="C108" s="70">
        <f t="shared" si="12"/>
        <v>0.49497474683058273</v>
      </c>
      <c r="D108" s="70">
        <f t="shared" si="13"/>
        <v>-0.49497474683058379</v>
      </c>
      <c r="E108" s="67">
        <f t="shared" si="14"/>
        <v>5.4977871437821371</v>
      </c>
      <c r="R108" s="67">
        <f t="array" aca="1" ref="R108:T108" ca="1">TRANSPOSE(MMULT($R$24:$T$26,TRANSPOSE(R80:T80)))</f>
        <v>-0.30744709603208936</v>
      </c>
      <c r="S108" s="67">
        <f ca="1"/>
        <v>-0.7242381305056329</v>
      </c>
      <c r="T108" s="67">
        <f ca="1"/>
        <v>-0.10176531857398391</v>
      </c>
    </row>
    <row r="109" spans="1:20" x14ac:dyDescent="0.25">
      <c r="A109" s="80">
        <v>23</v>
      </c>
      <c r="B109" s="70"/>
      <c r="C109" s="70">
        <f t="shared" si="12"/>
        <v>0.60621778264910653</v>
      </c>
      <c r="D109" s="70">
        <f t="shared" si="13"/>
        <v>-0.35000000000000081</v>
      </c>
      <c r="E109" s="67">
        <f t="shared" si="14"/>
        <v>5.7595865315812862</v>
      </c>
      <c r="R109" s="67">
        <f t="array" aca="1" ref="R109:T109" ca="1">TRANSPOSE(MMULT($R$24:$T$26,TRANSPOSE(R81:T81)))</f>
        <v>-0.46488852045620427</v>
      </c>
      <c r="S109" s="67">
        <f ca="1"/>
        <v>-0.65603037231580386</v>
      </c>
      <c r="T109" s="67">
        <f ca="1"/>
        <v>-3.4562768721841219E-2</v>
      </c>
    </row>
    <row r="110" spans="1:20" x14ac:dyDescent="0.25">
      <c r="A110" s="80">
        <v>24</v>
      </c>
      <c r="B110" s="70"/>
      <c r="C110" s="70">
        <f t="shared" si="12"/>
        <v>0.67614807840234747</v>
      </c>
      <c r="D110" s="70">
        <f t="shared" si="13"/>
        <v>-0.18117333157176568</v>
      </c>
      <c r="E110" s="67">
        <f t="shared" si="14"/>
        <v>6.0213859193804353</v>
      </c>
      <c r="R110" s="67">
        <f t="array" aca="1" ref="R110:T110" ca="1">TRANSPOSE(MMULT($R$24:$T$26,TRANSPOSE(R82:T82)))</f>
        <v>-0.64095052007997944</v>
      </c>
      <c r="S110" s="67">
        <f ca="1"/>
        <v>-0.55748721685243041</v>
      </c>
      <c r="T110" s="67">
        <f ca="1"/>
        <v>-3.6864765590617576E-2</v>
      </c>
    </row>
    <row r="111" spans="1:20" x14ac:dyDescent="0.25">
      <c r="A111" s="80">
        <v>25</v>
      </c>
      <c r="B111" s="70"/>
      <c r="C111" s="70">
        <f t="shared" si="12"/>
        <v>0.7</v>
      </c>
      <c r="D111" s="70">
        <f t="shared" si="13"/>
        <v>-1.414970571267382E-15</v>
      </c>
      <c r="E111" s="67">
        <f t="shared" si="14"/>
        <v>6.2831853071795845</v>
      </c>
      <c r="R111" s="67">
        <f t="array" aca="1" ref="R111:T111" ca="1">TRANSPOSE(MMULT($R$24:$T$26,TRANSPOSE(R83:T83)))</f>
        <v>-0.75027625751680715</v>
      </c>
      <c r="S111" s="67">
        <f ca="1"/>
        <v>-0.41436464500480347</v>
      </c>
      <c r="T111" s="67">
        <f ca="1"/>
        <v>-3.7165703715661413E-3</v>
      </c>
    </row>
  </sheetData>
  <mergeCells count="6">
    <mergeCell ref="AE44:AE55"/>
    <mergeCell ref="G31:G42"/>
    <mergeCell ref="V31:V42"/>
    <mergeCell ref="G44:G55"/>
    <mergeCell ref="P44:P55"/>
    <mergeCell ref="V44:V55"/>
  </mergeCells>
  <hyperlinks>
    <hyperlink ref="A1:C1" r:id="rId1" display="Файл скачан с сайта excel2.ru &gt;&gt;&gt;"/>
    <hyperlink ref="Z15" r:id="rId2" location="h11"/>
    <hyperlink ref="AB22" r:id="rId3"/>
    <hyperlink ref="A2" r:id="rId4"/>
    <hyperlink ref="AD2" r:id="rId5" display="Задать вопрос"/>
  </hyperlinks>
  <pageMargins left="0.7" right="0.7" top="0.75" bottom="0.75" header="0.3" footer="0.3"/>
  <pageSetup orientation="portrait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9" name="Group Box 1">
              <controlPr defaultSize="0" autoFill="0" autoPict="0">
                <anchor moveWithCells="1">
                  <from>
                    <xdr:col>2</xdr:col>
                    <xdr:colOff>228600</xdr:colOff>
                    <xdr:row>27</xdr:row>
                    <xdr:rowOff>19050</xdr:rowOff>
                  </from>
                  <to>
                    <xdr:col>4</xdr:col>
                    <xdr:colOff>123825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10" name="Option Button 2">
              <controlPr defaultSize="0" autoFill="0" autoLine="0" autoPict="0">
                <anchor moveWithCells="1">
                  <from>
                    <xdr:col>2</xdr:col>
                    <xdr:colOff>342900</xdr:colOff>
                    <xdr:row>27</xdr:row>
                    <xdr:rowOff>114300</xdr:rowOff>
                  </from>
                  <to>
                    <xdr:col>3</xdr:col>
                    <xdr:colOff>723900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11" name="Option Button 3">
              <controlPr defaultSize="0" autoFill="0" autoLine="0" autoPict="0">
                <anchor moveWithCells="1">
                  <from>
                    <xdr:col>2</xdr:col>
                    <xdr:colOff>342900</xdr:colOff>
                    <xdr:row>28</xdr:row>
                    <xdr:rowOff>161925</xdr:rowOff>
                  </from>
                  <to>
                    <xdr:col>3</xdr:col>
                    <xdr:colOff>504825</xdr:colOff>
                    <xdr:row>28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Normal="100" workbookViewId="0">
      <selection activeCell="W2" sqref="W2"/>
    </sheetView>
  </sheetViews>
  <sheetFormatPr defaultRowHeight="12.75" x14ac:dyDescent="0.2"/>
  <cols>
    <col min="1" max="1" width="12.5703125" style="4" customWidth="1"/>
    <col min="2" max="2" width="8.28515625" style="4" bestFit="1" customWidth="1"/>
    <col min="3" max="3" width="16" style="4" bestFit="1" customWidth="1"/>
    <col min="4" max="4" width="15.140625" style="4" bestFit="1" customWidth="1"/>
    <col min="5" max="5" width="11.85546875" style="4" bestFit="1" customWidth="1"/>
    <col min="6" max="7" width="10" style="4" bestFit="1" customWidth="1"/>
    <col min="8" max="8" width="8.140625" style="4" customWidth="1"/>
    <col min="9" max="9" width="11.42578125" style="4" customWidth="1"/>
    <col min="10" max="10" width="9.7109375" style="4" customWidth="1"/>
    <col min="11" max="11" width="13.5703125" style="4" customWidth="1"/>
    <col min="12" max="12" width="12.140625" style="4" customWidth="1"/>
    <col min="13" max="13" width="9.140625" style="4" customWidth="1"/>
    <col min="14" max="14" width="9.42578125" style="4" customWidth="1"/>
    <col min="15" max="15" width="10" style="4" customWidth="1"/>
    <col min="16" max="24" width="8.140625" style="4" customWidth="1"/>
    <col min="25" max="247" width="9.140625" style="4"/>
    <col min="248" max="248" width="10" style="4" customWidth="1"/>
    <col min="249" max="16384" width="9.140625" style="4"/>
  </cols>
  <sheetData>
    <row r="1" spans="1:2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91" t="s">
        <v>272</v>
      </c>
      <c r="X2" s="2"/>
    </row>
    <row r="3" spans="1:24" ht="18.75" x14ac:dyDescent="0.2">
      <c r="A3" s="1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9" t="s">
        <v>234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6" spans="1:24" x14ac:dyDescent="0.2">
      <c r="C6" s="94" t="s">
        <v>81</v>
      </c>
      <c r="D6" s="94" t="s">
        <v>80</v>
      </c>
      <c r="E6" s="95" t="s">
        <v>79</v>
      </c>
    </row>
    <row r="7" spans="1:24" x14ac:dyDescent="0.2">
      <c r="A7" s="146" t="s">
        <v>218</v>
      </c>
      <c r="B7" s="147"/>
      <c r="C7" s="14">
        <f t="array" ref="C7:E7">LINEST(E13:E43,C13:D43)</f>
        <v>1.486496440822243</v>
      </c>
      <c r="D7" s="14">
        <v>-3.161350680567377E-2</v>
      </c>
      <c r="E7" s="45">
        <v>48.631858695670488</v>
      </c>
    </row>
    <row r="9" spans="1:24" x14ac:dyDescent="0.2">
      <c r="C9" s="94" t="s">
        <v>80</v>
      </c>
      <c r="D9" s="94" t="s">
        <v>81</v>
      </c>
      <c r="E9" s="95" t="s">
        <v>79</v>
      </c>
    </row>
    <row r="10" spans="1:24" x14ac:dyDescent="0.2">
      <c r="A10" s="146" t="s">
        <v>217</v>
      </c>
      <c r="B10" s="147"/>
      <c r="C10" s="14">
        <f>D7</f>
        <v>-3.161350680567377E-2</v>
      </c>
      <c r="D10" s="14">
        <f>C7</f>
        <v>1.486496440822243</v>
      </c>
      <c r="E10" s="45">
        <f>E7</f>
        <v>48.631858695670488</v>
      </c>
    </row>
    <row r="12" spans="1:24" x14ac:dyDescent="0.2">
      <c r="A12" s="89" t="s">
        <v>74</v>
      </c>
      <c r="B12" s="7" t="s">
        <v>73</v>
      </c>
      <c r="C12" s="90" t="str">
        <f>Коэффициенты!B19</f>
        <v>X1 (Концентрация)</v>
      </c>
      <c r="D12" s="90" t="str">
        <f>Коэффициенты!C19</f>
        <v>X2 (Температура)</v>
      </c>
      <c r="E12" s="90" t="str">
        <f>Коэффициенты!D19</f>
        <v>Y (Прочность)</v>
      </c>
      <c r="F12" s="65" t="s">
        <v>70</v>
      </c>
      <c r="G12" s="65" t="s">
        <v>71</v>
      </c>
      <c r="I12" s="7" t="s">
        <v>35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x14ac:dyDescent="0.2">
      <c r="A13" s="4">
        <f>Коэффициенты!A20</f>
        <v>1</v>
      </c>
      <c r="B13" s="66">
        <v>1</v>
      </c>
      <c r="C13" s="69">
        <f>Коэффициенты!B20</f>
        <v>2400</v>
      </c>
      <c r="D13" s="69">
        <f>Коэффициенты!C20</f>
        <v>54.5</v>
      </c>
      <c r="E13" s="69">
        <f>Коэффициенты!D20</f>
        <v>60</v>
      </c>
      <c r="F13" s="12">
        <f>$C$10*C13+$D$10*D13+$E$10</f>
        <v>53.773498386865683</v>
      </c>
      <c r="G13" s="12">
        <f t="shared" ref="G13:G43" si="0">TREND($E$13:$E$43,$C$13:$D$43,C13:D13)</f>
        <v>53.773498386865683</v>
      </c>
      <c r="M13" s="8" t="s">
        <v>232</v>
      </c>
      <c r="R13" s="8" t="s">
        <v>17</v>
      </c>
    </row>
    <row r="14" spans="1:24" x14ac:dyDescent="0.2">
      <c r="A14" s="4">
        <f>Коэффициенты!A21</f>
        <v>2</v>
      </c>
      <c r="B14" s="66">
        <v>1</v>
      </c>
      <c r="C14" s="69">
        <f>Коэффициенты!B21</f>
        <v>2450</v>
      </c>
      <c r="D14" s="69">
        <f>Коэффициенты!C21</f>
        <v>56</v>
      </c>
      <c r="E14" s="69">
        <f>Коэффициенты!D21</f>
        <v>61</v>
      </c>
      <c r="F14" s="12">
        <f t="shared" ref="F14:F36" si="1">$C$10*C14+$D$10*D14+$E$10</f>
        <v>54.422567707815347</v>
      </c>
      <c r="G14" s="12">
        <f t="shared" si="0"/>
        <v>54.422567707815347</v>
      </c>
      <c r="I14" s="6" t="s">
        <v>13</v>
      </c>
      <c r="J14" s="6">
        <f>COUNT($C$13:$C$43)</f>
        <v>31</v>
      </c>
      <c r="N14" s="27">
        <v>1</v>
      </c>
      <c r="O14" s="27">
        <v>2</v>
      </c>
      <c r="P14" s="27">
        <v>3</v>
      </c>
      <c r="R14" s="4" t="s">
        <v>221</v>
      </c>
    </row>
    <row r="15" spans="1:24" x14ac:dyDescent="0.2">
      <c r="A15" s="4">
        <f>Коэффициенты!A22</f>
        <v>3</v>
      </c>
      <c r="B15" s="66">
        <v>1</v>
      </c>
      <c r="C15" s="69">
        <f>Коэффициенты!B22</f>
        <v>2450</v>
      </c>
      <c r="D15" s="69">
        <f>Коэффициенты!C22</f>
        <v>58.5</v>
      </c>
      <c r="E15" s="69">
        <f>Коэффициенты!D22</f>
        <v>65</v>
      </c>
      <c r="F15" s="12">
        <f t="shared" si="1"/>
        <v>58.138808809870952</v>
      </c>
      <c r="G15" s="12">
        <f t="shared" si="0"/>
        <v>58.138808809870952</v>
      </c>
      <c r="I15" s="6" t="s">
        <v>253</v>
      </c>
      <c r="J15" s="6">
        <f>COUNT(C10:D10)</f>
        <v>2</v>
      </c>
      <c r="M15" s="27">
        <v>1</v>
      </c>
      <c r="N15" s="12">
        <f t="shared" ref="N15:P16" si="2">INDEX(LINEST($E$13:$E$43,$C$13:$D$43,,TRUE),$M15,N$14)</f>
        <v>1.486496440822243</v>
      </c>
      <c r="O15" s="12">
        <f t="shared" si="2"/>
        <v>-3.161350680567377E-2</v>
      </c>
      <c r="P15" s="12">
        <f t="shared" si="2"/>
        <v>48.631858695670488</v>
      </c>
      <c r="R15" s="6" t="s">
        <v>227</v>
      </c>
      <c r="S15" s="6" t="s">
        <v>228</v>
      </c>
      <c r="T15" s="6" t="s">
        <v>229</v>
      </c>
    </row>
    <row r="16" spans="1:24" x14ac:dyDescent="0.2">
      <c r="A16" s="4">
        <f>Коэффициенты!A23</f>
        <v>4</v>
      </c>
      <c r="B16" s="66">
        <v>1</v>
      </c>
      <c r="C16" s="69">
        <f>Коэффициенты!B23</f>
        <v>2500</v>
      </c>
      <c r="D16" s="69">
        <f>Коэффициенты!C23</f>
        <v>43</v>
      </c>
      <c r="E16" s="69">
        <f>Коэффициенты!D23</f>
        <v>30.5</v>
      </c>
      <c r="F16" s="12">
        <f t="shared" si="1"/>
        <v>33.517438636842513</v>
      </c>
      <c r="G16" s="12">
        <f t="shared" si="0"/>
        <v>33.517438636842513</v>
      </c>
      <c r="I16" s="6" t="s">
        <v>254</v>
      </c>
      <c r="J16" s="6">
        <f>COUNT(C10:E10)</f>
        <v>3</v>
      </c>
      <c r="M16" s="27">
        <v>2</v>
      </c>
      <c r="N16" s="153">
        <f t="shared" si="2"/>
        <v>0.16269273406768212</v>
      </c>
      <c r="O16" s="153">
        <f t="shared" si="2"/>
        <v>2.9130040835873634E-3</v>
      </c>
      <c r="P16" s="153">
        <f t="shared" si="2"/>
        <v>10.935706152752179</v>
      </c>
      <c r="R16" s="6" t="s">
        <v>230</v>
      </c>
      <c r="S16" s="6" t="s">
        <v>231</v>
      </c>
      <c r="T16" s="6" t="s">
        <v>222</v>
      </c>
    </row>
    <row r="17" spans="1:19" x14ac:dyDescent="0.2">
      <c r="A17" s="4">
        <f>Коэффициенты!A24</f>
        <v>5</v>
      </c>
      <c r="B17" s="66">
        <v>1</v>
      </c>
      <c r="C17" s="69">
        <f>Коэффициенты!B24</f>
        <v>2500</v>
      </c>
      <c r="D17" s="69">
        <f>Коэффициенты!C24</f>
        <v>58</v>
      </c>
      <c r="E17" s="69">
        <f>Коэффициенты!D24</f>
        <v>63.5</v>
      </c>
      <c r="F17" s="12">
        <f t="shared" si="1"/>
        <v>55.814885249176157</v>
      </c>
      <c r="G17" s="12">
        <f t="shared" si="0"/>
        <v>55.814885249176157</v>
      </c>
      <c r="I17" s="14" t="s">
        <v>19</v>
      </c>
      <c r="J17" s="150">
        <f>J14-J16</f>
        <v>28</v>
      </c>
      <c r="M17" s="27">
        <v>3</v>
      </c>
      <c r="N17" s="12">
        <f t="shared" ref="N17:O19" si="3">INDEX(LINEST($E$13:$E$43,$C$13:$D$43,,TRUE),$M17,N$14)</f>
        <v>0.84867873842749164</v>
      </c>
      <c r="O17" s="12">
        <f t="shared" si="3"/>
        <v>5.9231343641466445</v>
      </c>
      <c r="P17" s="12"/>
      <c r="R17" s="6" t="s">
        <v>223</v>
      </c>
      <c r="S17" s="6" t="s">
        <v>224</v>
      </c>
    </row>
    <row r="18" spans="1:19" x14ac:dyDescent="0.2">
      <c r="A18" s="4">
        <f>Коэффициенты!A25</f>
        <v>6</v>
      </c>
      <c r="B18" s="66">
        <v>1</v>
      </c>
      <c r="C18" s="69">
        <f>Коэффициенты!B25</f>
        <v>2500</v>
      </c>
      <c r="D18" s="69">
        <f>Коэффициенты!C25</f>
        <v>59</v>
      </c>
      <c r="E18" s="69">
        <f>Коэффициенты!D25</f>
        <v>65</v>
      </c>
      <c r="F18" s="12">
        <f t="shared" si="1"/>
        <v>57.301381689998408</v>
      </c>
      <c r="G18" s="12">
        <f t="shared" si="0"/>
        <v>57.301381689998408</v>
      </c>
      <c r="I18" s="6" t="s">
        <v>219</v>
      </c>
      <c r="J18" s="45">
        <f>AVERAGE($C$13:$C$43)</f>
        <v>2991.1290322580644</v>
      </c>
      <c r="M18" s="27">
        <v>4</v>
      </c>
      <c r="N18" s="12">
        <f t="shared" si="3"/>
        <v>78.518393347465206</v>
      </c>
      <c r="O18" s="151">
        <f t="shared" si="3"/>
        <v>28</v>
      </c>
      <c r="P18" s="12"/>
      <c r="R18" s="6" t="s">
        <v>49</v>
      </c>
      <c r="S18" s="6" t="s">
        <v>46</v>
      </c>
    </row>
    <row r="19" spans="1:19" x14ac:dyDescent="0.2">
      <c r="A19" s="4">
        <f>Коэффициенты!A26</f>
        <v>7</v>
      </c>
      <c r="B19" s="66">
        <v>1</v>
      </c>
      <c r="C19" s="69">
        <f>Коэффициенты!B26</f>
        <v>2700</v>
      </c>
      <c r="D19" s="69">
        <f>Коэффициенты!C26</f>
        <v>52.5</v>
      </c>
      <c r="E19" s="69">
        <f>Коэффициенты!D26</f>
        <v>44</v>
      </c>
      <c r="F19" s="12">
        <f t="shared" si="1"/>
        <v>41.316453463519068</v>
      </c>
      <c r="G19" s="12">
        <f t="shared" si="0"/>
        <v>41.316453463519068</v>
      </c>
      <c r="I19" s="6" t="s">
        <v>220</v>
      </c>
      <c r="J19" s="14">
        <f>AVERAGE($D$13:$D$43)</f>
        <v>58.467741935483872</v>
      </c>
      <c r="M19" s="27">
        <v>5</v>
      </c>
      <c r="N19" s="12">
        <f t="shared" si="3"/>
        <v>5509.403356003294</v>
      </c>
      <c r="O19" s="12">
        <f t="shared" si="3"/>
        <v>982.33857948057653</v>
      </c>
      <c r="P19" s="12"/>
      <c r="R19" s="6" t="s">
        <v>225</v>
      </c>
      <c r="S19" s="6" t="s">
        <v>226</v>
      </c>
    </row>
    <row r="20" spans="1:19" x14ac:dyDescent="0.2">
      <c r="A20" s="4">
        <f>Коэффициенты!A27</f>
        <v>8</v>
      </c>
      <c r="B20" s="66">
        <v>1</v>
      </c>
      <c r="C20" s="69">
        <f>Коэффициенты!B27</f>
        <v>2700</v>
      </c>
      <c r="D20" s="69">
        <f>Коэффициенты!C27</f>
        <v>65.5</v>
      </c>
      <c r="E20" s="69">
        <f>Коэффициенты!D27</f>
        <v>52</v>
      </c>
      <c r="F20" s="12">
        <f t="shared" si="1"/>
        <v>60.640907194208225</v>
      </c>
      <c r="G20" s="12">
        <f t="shared" si="0"/>
        <v>60.640907194208225</v>
      </c>
      <c r="I20" s="6" t="s">
        <v>12</v>
      </c>
      <c r="J20" s="14">
        <f>AVERAGE(E13:E43)</f>
        <v>40.983870967741936</v>
      </c>
    </row>
    <row r="21" spans="1:19" x14ac:dyDescent="0.2">
      <c r="A21" s="4">
        <f>Коэффициенты!A28</f>
        <v>9</v>
      </c>
      <c r="B21" s="66">
        <v>1</v>
      </c>
      <c r="C21" s="69">
        <f>Коэффициенты!B28</f>
        <v>2700</v>
      </c>
      <c r="D21" s="69">
        <f>Коэффициенты!C28</f>
        <v>68</v>
      </c>
      <c r="E21" s="69">
        <f>Коэффициенты!D28</f>
        <v>54.5</v>
      </c>
      <c r="F21" s="12">
        <f t="shared" si="1"/>
        <v>64.35714829626383</v>
      </c>
      <c r="G21" s="12">
        <f t="shared" si="0"/>
        <v>64.35714829626383</v>
      </c>
      <c r="I21" s="6" t="s">
        <v>11</v>
      </c>
      <c r="J21" s="6">
        <f>_xlfn.VAR.S(E13:E43)*(J14-1)</f>
        <v>6491.7419354838712</v>
      </c>
      <c r="M21" s="8" t="s">
        <v>233</v>
      </c>
    </row>
    <row r="22" spans="1:19" x14ac:dyDescent="0.2">
      <c r="A22" s="4">
        <f>Коэффициенты!A29</f>
        <v>10</v>
      </c>
      <c r="B22" s="66">
        <v>1</v>
      </c>
      <c r="C22" s="69">
        <f>Коэффициенты!B29</f>
        <v>2750</v>
      </c>
      <c r="D22" s="69">
        <f>Коэффициенты!C29</f>
        <v>45</v>
      </c>
      <c r="E22" s="69">
        <f>Коэффициенты!D29</f>
        <v>30</v>
      </c>
      <c r="F22" s="12">
        <f t="shared" si="1"/>
        <v>28.587054817068548</v>
      </c>
      <c r="G22" s="12">
        <f t="shared" si="0"/>
        <v>28.587054817068548</v>
      </c>
      <c r="I22" s="6" t="s">
        <v>14</v>
      </c>
      <c r="J22" s="14">
        <f>_xlfn.VAR.S(F13:F43)*(J14-1)</f>
        <v>5509.4033560033131</v>
      </c>
      <c r="K22" s="12"/>
      <c r="N22" s="149">
        <v>1</v>
      </c>
      <c r="O22" s="149">
        <v>2</v>
      </c>
      <c r="P22" s="149">
        <v>3</v>
      </c>
    </row>
    <row r="23" spans="1:19" x14ac:dyDescent="0.2">
      <c r="A23" s="4">
        <f>Коэффициенты!A30</f>
        <v>11</v>
      </c>
      <c r="B23" s="66">
        <v>1</v>
      </c>
      <c r="C23" s="69">
        <f>Коэффициенты!B30</f>
        <v>2775</v>
      </c>
      <c r="D23" s="69">
        <f>Коэффициенты!C30</f>
        <v>45.5</v>
      </c>
      <c r="E23" s="69">
        <f>Коэффициенты!D30</f>
        <v>26</v>
      </c>
      <c r="F23" s="12">
        <f t="shared" si="1"/>
        <v>28.539965367337828</v>
      </c>
      <c r="G23" s="12">
        <f t="shared" si="0"/>
        <v>28.539965367337828</v>
      </c>
      <c r="I23" s="6" t="s">
        <v>255</v>
      </c>
      <c r="J23" s="14">
        <f>J22/J15</f>
        <v>2754.7016780016565</v>
      </c>
      <c r="M23" s="149">
        <v>1</v>
      </c>
      <c r="N23" s="12">
        <f t="array" ref="N23">INDEX(MMULT(MINVERSE(MMULT(TRANSPOSE($B$13:$D$43),($B$13:$D$43))),MMULT(TRANSPOSE($B$13:$D$43),($E$13:$E$43))),4-N22,$M$23)</f>
        <v>1.4864964408222505</v>
      </c>
      <c r="O23" s="12">
        <f t="array" ref="O23">INDEX(MMULT(MINVERSE(MMULT(TRANSPOSE($B$13:$D$43),($B$13:$D$43))),MMULT(TRANSPOSE($B$13:$D$43),($E$13:$E$43))),4-O22,$M$23)</f>
        <v>-3.1613506805673541E-2</v>
      </c>
      <c r="P23" s="12">
        <f t="array" ref="P23">INDEX(MMULT(MINVERSE(MMULT(TRANSPOSE($B$13:$D$43),($B$13:$D$43))),MMULT(TRANSPOSE($B$13:$D$43),($E$13:$E$43))),4-P22,$M$23)</f>
        <v>48.631858695667688</v>
      </c>
    </row>
    <row r="24" spans="1:19" x14ac:dyDescent="0.2">
      <c r="A24" s="4">
        <f>Коэффициенты!A31</f>
        <v>12</v>
      </c>
      <c r="B24" s="66">
        <v>1</v>
      </c>
      <c r="C24" s="69">
        <f>Коэффициенты!B31</f>
        <v>2800</v>
      </c>
      <c r="D24" s="69">
        <f>Коэффициенты!C31</f>
        <v>48</v>
      </c>
      <c r="E24" s="69">
        <f>Коэффициенты!D31</f>
        <v>23</v>
      </c>
      <c r="F24" s="12">
        <f t="shared" si="1"/>
        <v>31.465868799251581</v>
      </c>
      <c r="G24" s="12">
        <f t="shared" si="0"/>
        <v>31.465868799251581</v>
      </c>
      <c r="I24" s="6" t="s">
        <v>15</v>
      </c>
      <c r="J24" s="148">
        <f>SUMXMY2(E13:E43,F13:F43)</f>
        <v>982.33857948057755</v>
      </c>
      <c r="M24" s="149">
        <v>2</v>
      </c>
      <c r="N24" s="4">
        <f t="array" ref="N24">J26*SQRT(INDEX(MINVERSE(MMULT(TRANSPOSE(B13:D43),(B13:D43))),3,3))</f>
        <v>0.16269273406768245</v>
      </c>
      <c r="O24" s="28">
        <f t="array" ref="O24">J26*SQRT(INDEX(MINVERSE(MMULT(TRANSPOSE(B13:D43),(B13:D43))),2,2))</f>
        <v>2.9130040835873574E-3</v>
      </c>
      <c r="P24" s="4">
        <f t="array" ref="P24">J26*SQRT(INDEX(MINVERSE(MMULT(TRANSPOSE(B13:D43),(B13:D43))),1,1))</f>
        <v>10.935706152752161</v>
      </c>
    </row>
    <row r="25" spans="1:19" x14ac:dyDescent="0.2">
      <c r="A25" s="4">
        <f>Коэффициенты!A32</f>
        <v>13</v>
      </c>
      <c r="B25" s="66">
        <v>1</v>
      </c>
      <c r="C25" s="69">
        <f>Коэффициенты!B32</f>
        <v>2800</v>
      </c>
      <c r="D25" s="69">
        <f>Коэффициенты!C32</f>
        <v>63</v>
      </c>
      <c r="E25" s="69">
        <f>Коэффициенты!D32</f>
        <v>54</v>
      </c>
      <c r="F25" s="12">
        <f t="shared" si="1"/>
        <v>53.763315411585239</v>
      </c>
      <c r="G25" s="12">
        <f t="shared" si="0"/>
        <v>53.763315411585239</v>
      </c>
      <c r="I25" s="6" t="s">
        <v>256</v>
      </c>
      <c r="J25" s="6">
        <f>J24/J17</f>
        <v>35.083520695734911</v>
      </c>
      <c r="M25" s="149">
        <v>3</v>
      </c>
      <c r="N25" s="12">
        <f>_xlfn.VAR.S(F13:F43)/_xlfn.VAR.S(E13:E43)</f>
        <v>0.84867873842749453</v>
      </c>
      <c r="O25" s="12">
        <f>SQRT(J24/(J14-COUNT(C10:D10)-1))</f>
        <v>5.9231343641466472</v>
      </c>
    </row>
    <row r="26" spans="1:19" x14ac:dyDescent="0.2">
      <c r="A26" s="4">
        <f>Коэффициенты!A33</f>
        <v>14</v>
      </c>
      <c r="B26" s="66">
        <v>1</v>
      </c>
      <c r="C26" s="69">
        <f>Коэффициенты!B33</f>
        <v>2900</v>
      </c>
      <c r="D26" s="69">
        <f>Коэффициенты!C33</f>
        <v>58.5</v>
      </c>
      <c r="E26" s="69">
        <f>Коэффициенты!D33</f>
        <v>36</v>
      </c>
      <c r="F26" s="12">
        <f t="shared" si="1"/>
        <v>43.912730747317767</v>
      </c>
      <c r="G26" s="12">
        <f t="shared" si="0"/>
        <v>43.912730747317767</v>
      </c>
      <c r="I26" s="6" t="s">
        <v>18</v>
      </c>
      <c r="J26" s="14">
        <f>SQRT(J25)</f>
        <v>5.9231343641466472</v>
      </c>
      <c r="K26" s="12"/>
      <c r="M26" s="149">
        <v>4</v>
      </c>
      <c r="N26" s="12">
        <f>(_xlfn.VAR.S(F13:F43)*(J14-1)/J15)/(SUMXMY2(E13:E43,F13:F43)/J17)</f>
        <v>78.518393347465391</v>
      </c>
      <c r="O26" s="151">
        <f>J14-COUNT(C10:E10)</f>
        <v>28</v>
      </c>
    </row>
    <row r="27" spans="1:19" x14ac:dyDescent="0.2">
      <c r="A27" s="4">
        <f>Коэффициенты!A34</f>
        <v>15</v>
      </c>
      <c r="B27" s="66">
        <v>1</v>
      </c>
      <c r="C27" s="69">
        <f>Коэффициенты!B34</f>
        <v>2900</v>
      </c>
      <c r="D27" s="69">
        <f>Коэффициенты!C34</f>
        <v>64.5</v>
      </c>
      <c r="E27" s="69">
        <f>Коэффициенты!D34</f>
        <v>53.5</v>
      </c>
      <c r="F27" s="12">
        <f t="shared" si="1"/>
        <v>52.831709392251227</v>
      </c>
      <c r="G27" s="12">
        <f t="shared" si="0"/>
        <v>52.831709392251227</v>
      </c>
      <c r="I27" s="6" t="s">
        <v>245</v>
      </c>
      <c r="J27" s="154">
        <f t="array" ref="J27">J26*SQRT(INDEX(MINVERSE(MMULT(TRANSPOSE(B13:D43),(B13:D43))),2,2))</f>
        <v>2.9130040835873574E-3</v>
      </c>
      <c r="M27" s="149">
        <v>5</v>
      </c>
      <c r="N27" s="4">
        <f>_xlfn.VAR.S(F13:F43)*(J14-1)</f>
        <v>5509.4033560033131</v>
      </c>
      <c r="O27" s="12">
        <f>SUMXMY2(F13:F43,E13:E43)</f>
        <v>982.33857948057755</v>
      </c>
    </row>
    <row r="28" spans="1:19" x14ac:dyDescent="0.2">
      <c r="A28" s="4">
        <f>Коэффициенты!A35</f>
        <v>16</v>
      </c>
      <c r="B28" s="66">
        <v>1</v>
      </c>
      <c r="C28" s="69">
        <f>Коэффициенты!B35</f>
        <v>3000</v>
      </c>
      <c r="D28" s="69">
        <f>Коэффициенты!C35</f>
        <v>66</v>
      </c>
      <c r="E28" s="69">
        <f>Коэффициенты!D35</f>
        <v>57</v>
      </c>
      <c r="F28" s="12">
        <f t="shared" si="1"/>
        <v>51.900103372917215</v>
      </c>
      <c r="G28" s="12">
        <f t="shared" si="0"/>
        <v>51.900103372917215</v>
      </c>
      <c r="I28" s="6" t="s">
        <v>246</v>
      </c>
      <c r="J28" s="154">
        <f t="array" ref="J28">J26*SQRT(INDEX(MINVERSE(MMULT(TRANSPOSE(B13:D43),(B13:D43))),3,3))</f>
        <v>0.16269273406768245</v>
      </c>
    </row>
    <row r="29" spans="1:19" x14ac:dyDescent="0.2">
      <c r="A29" s="4">
        <f>Коэффициенты!A36</f>
        <v>17</v>
      </c>
      <c r="B29" s="66">
        <v>1</v>
      </c>
      <c r="C29" s="69">
        <f>Коэффициенты!B36</f>
        <v>3075</v>
      </c>
      <c r="D29" s="69">
        <f>Коэффициенты!C36</f>
        <v>57</v>
      </c>
      <c r="E29" s="69">
        <f>Коэффициенты!D36</f>
        <v>33.5</v>
      </c>
      <c r="F29" s="12">
        <f t="shared" si="1"/>
        <v>36.150622395091503</v>
      </c>
      <c r="G29" s="12">
        <f t="shared" si="0"/>
        <v>36.150622395091503</v>
      </c>
      <c r="I29" s="6" t="s">
        <v>247</v>
      </c>
      <c r="J29" s="154">
        <f t="array" ref="J29">J26*SQRT(INDEX(MINVERSE(MMULT(TRANSPOSE(B13:D43),(B13:D43))),1,1))</f>
        <v>10.935706152752161</v>
      </c>
    </row>
    <row r="30" spans="1:19" x14ac:dyDescent="0.2">
      <c r="A30" s="4">
        <f>Коэффициенты!A37</f>
        <v>18</v>
      </c>
      <c r="B30" s="66">
        <v>1</v>
      </c>
      <c r="C30" s="69">
        <f>Коэффициенты!B37</f>
        <v>3100</v>
      </c>
      <c r="D30" s="69">
        <f>Коэффициенты!C37</f>
        <v>57.5</v>
      </c>
      <c r="E30" s="69">
        <f>Коэффициенты!D37</f>
        <v>34</v>
      </c>
      <c r="F30" s="12">
        <f t="shared" si="1"/>
        <v>36.103532945360769</v>
      </c>
      <c r="G30" s="12">
        <f t="shared" si="0"/>
        <v>36.103532945360769</v>
      </c>
      <c r="I30" s="6" t="s">
        <v>16</v>
      </c>
      <c r="J30" s="14">
        <f>J23/J25</f>
        <v>78.518393347465391</v>
      </c>
    </row>
    <row r="31" spans="1:19" ht="15" x14ac:dyDescent="0.2">
      <c r="A31" s="4">
        <f>Коэффициенты!A38</f>
        <v>19</v>
      </c>
      <c r="B31" s="66">
        <v>1</v>
      </c>
      <c r="C31" s="69">
        <f>Коэффициенты!B38</f>
        <v>3150</v>
      </c>
      <c r="D31" s="69">
        <f>Коэффициенты!C38</f>
        <v>64</v>
      </c>
      <c r="E31" s="69">
        <f>Коэффициенты!D38</f>
        <v>44</v>
      </c>
      <c r="F31" s="12">
        <f t="shared" si="1"/>
        <v>44.185084470421657</v>
      </c>
      <c r="G31" s="12">
        <f t="shared" si="0"/>
        <v>44.185084470421657</v>
      </c>
      <c r="I31" s="14" t="s">
        <v>24</v>
      </c>
      <c r="J31" s="14">
        <f>J22/J21</f>
        <v>0.84867873842749453</v>
      </c>
      <c r="K31" s="12"/>
      <c r="M31" s="153"/>
    </row>
    <row r="32" spans="1:19" ht="15" x14ac:dyDescent="0.2">
      <c r="A32" s="4">
        <f>Коэффициенты!A39</f>
        <v>20</v>
      </c>
      <c r="B32" s="66">
        <v>1</v>
      </c>
      <c r="C32" s="69">
        <f>Коэффициенты!B39</f>
        <v>3200</v>
      </c>
      <c r="D32" s="69">
        <f>Коэффициенты!C39</f>
        <v>57</v>
      </c>
      <c r="E32" s="69">
        <f>Коэффициенты!D39</f>
        <v>33</v>
      </c>
      <c r="F32" s="12">
        <f t="shared" si="1"/>
        <v>32.19893404438227</v>
      </c>
      <c r="G32" s="12">
        <f t="shared" si="0"/>
        <v>32.19893404438227</v>
      </c>
      <c r="I32" s="14" t="s">
        <v>252</v>
      </c>
      <c r="J32" s="14">
        <f>1-(J24/J17)/(J21/(J14-1))</f>
        <v>0.83787007688659809</v>
      </c>
      <c r="K32" s="14">
        <f>1-((1-J31)*(J14-1))/(J14-J16)</f>
        <v>0.8378700768866012</v>
      </c>
      <c r="L32" s="153"/>
    </row>
    <row r="33" spans="1:19" x14ac:dyDescent="0.2">
      <c r="A33" s="4">
        <f>Коэффициенты!A40</f>
        <v>21</v>
      </c>
      <c r="B33" s="66">
        <v>1</v>
      </c>
      <c r="C33" s="69">
        <f>Коэффициенты!B40</f>
        <v>3200</v>
      </c>
      <c r="D33" s="69">
        <f>Коэффициенты!C40</f>
        <v>64</v>
      </c>
      <c r="E33" s="69">
        <f>Коэффициенты!D40</f>
        <v>39</v>
      </c>
      <c r="F33" s="12">
        <f t="shared" si="1"/>
        <v>42.604409130137967</v>
      </c>
      <c r="G33" s="12">
        <f t="shared" si="0"/>
        <v>42.604409130137967</v>
      </c>
    </row>
    <row r="34" spans="1:19" x14ac:dyDescent="0.2">
      <c r="A34" s="4">
        <f>Коэффициенты!A41</f>
        <v>22</v>
      </c>
      <c r="B34" s="66">
        <v>1</v>
      </c>
      <c r="C34" s="69">
        <f>Коэффициенты!B41</f>
        <v>3200</v>
      </c>
      <c r="D34" s="69">
        <f>Коэффициенты!C41</f>
        <v>69</v>
      </c>
      <c r="E34" s="69">
        <f>Коэффициенты!D41</f>
        <v>53</v>
      </c>
      <c r="F34" s="12">
        <f t="shared" si="1"/>
        <v>50.036891334249177</v>
      </c>
      <c r="G34" s="12">
        <f t="shared" si="0"/>
        <v>50.036891334249177</v>
      </c>
      <c r="I34" s="27" t="s">
        <v>258</v>
      </c>
      <c r="J34" s="27"/>
      <c r="K34" s="27"/>
      <c r="L34" s="27"/>
      <c r="M34" s="27"/>
    </row>
    <row r="35" spans="1:19" ht="25.5" x14ac:dyDescent="0.2">
      <c r="A35" s="4">
        <f>Коэффициенты!A42</f>
        <v>23</v>
      </c>
      <c r="B35" s="66">
        <v>1</v>
      </c>
      <c r="C35" s="69">
        <f>Коэффициенты!B42</f>
        <v>3225</v>
      </c>
      <c r="D35" s="69">
        <f>Коэффициенты!C42</f>
        <v>68</v>
      </c>
      <c r="E35" s="69">
        <f>Коэффициенты!D42</f>
        <v>38.5</v>
      </c>
      <c r="F35" s="12">
        <f t="shared" si="1"/>
        <v>47.760057223285102</v>
      </c>
      <c r="G35" s="12">
        <f t="shared" si="0"/>
        <v>47.760057223285102</v>
      </c>
      <c r="I35" s="34" t="s">
        <v>259</v>
      </c>
      <c r="J35" s="35"/>
      <c r="K35" s="35"/>
      <c r="L35" s="34" t="s">
        <v>260</v>
      </c>
      <c r="M35" s="36"/>
    </row>
    <row r="36" spans="1:19" x14ac:dyDescent="0.2">
      <c r="A36" s="4">
        <f>Коэффициенты!A43</f>
        <v>24</v>
      </c>
      <c r="B36" s="66">
        <v>1</v>
      </c>
      <c r="C36" s="69">
        <f>Коэффициенты!B43</f>
        <v>3250</v>
      </c>
      <c r="D36" s="69">
        <f>Коэффициенты!C43</f>
        <v>62</v>
      </c>
      <c r="E36" s="69">
        <f>Коэффициенты!D43</f>
        <v>39.5</v>
      </c>
      <c r="F36" s="12">
        <f t="shared" si="1"/>
        <v>38.050740908209804</v>
      </c>
      <c r="G36" s="12">
        <f t="shared" si="0"/>
        <v>38.050740908209804</v>
      </c>
      <c r="I36" s="32" t="s">
        <v>20</v>
      </c>
      <c r="J36" s="37">
        <v>0.05</v>
      </c>
      <c r="K36" s="38"/>
      <c r="L36" s="32"/>
      <c r="M36" s="33"/>
    </row>
    <row r="37" spans="1:19" x14ac:dyDescent="0.2">
      <c r="A37" s="4">
        <f>Коэффициенты!A44</f>
        <v>25</v>
      </c>
      <c r="B37" s="66">
        <v>1</v>
      </c>
      <c r="C37" s="69">
        <f>Коэффициенты!B44</f>
        <v>3250</v>
      </c>
      <c r="D37" s="69">
        <f>Коэффициенты!C44</f>
        <v>64.5</v>
      </c>
      <c r="E37" s="69">
        <f>Коэффициенты!D44</f>
        <v>36</v>
      </c>
      <c r="F37" s="12">
        <f>$C$10*C37+$D$10*D37+$E$10</f>
        <v>41.766982010265409</v>
      </c>
      <c r="G37" s="12">
        <f t="shared" si="0"/>
        <v>41.766982010265409</v>
      </c>
      <c r="I37" s="32" t="s">
        <v>32</v>
      </c>
      <c r="J37" s="39">
        <f>J23/J25</f>
        <v>78.518393347465391</v>
      </c>
      <c r="K37" s="38"/>
      <c r="L37" s="32" t="s">
        <v>32</v>
      </c>
      <c r="M37" s="158">
        <f>N18</f>
        <v>78.518393347465206</v>
      </c>
    </row>
    <row r="38" spans="1:19" ht="38.25" x14ac:dyDescent="0.2">
      <c r="A38" s="4">
        <f>Коэффициенты!A45</f>
        <v>26</v>
      </c>
      <c r="B38" s="66">
        <v>1</v>
      </c>
      <c r="C38" s="69">
        <f>Коэффициенты!B45</f>
        <v>3250</v>
      </c>
      <c r="D38" s="69">
        <f>Коэффициенты!C45</f>
        <v>48</v>
      </c>
      <c r="E38" s="69">
        <f>Коэффициенты!D45</f>
        <v>8.5</v>
      </c>
      <c r="F38" s="12">
        <f t="shared" ref="F38:F43" si="4">$C$10*C38+$D$10*D38+$E$10</f>
        <v>17.239790736698396</v>
      </c>
      <c r="G38" s="12">
        <f t="shared" si="0"/>
        <v>17.239790736698396</v>
      </c>
      <c r="I38" s="32" t="s">
        <v>257</v>
      </c>
      <c r="J38" s="39">
        <f>_xlfn.F.INV.RT(J36,J15,J17)</f>
        <v>3.3403855582377591</v>
      </c>
      <c r="K38" s="160" t="s">
        <v>261</v>
      </c>
      <c r="L38" s="159" t="s">
        <v>262</v>
      </c>
      <c r="M38" s="158">
        <f>_xlfn.F.DIST.RT(M37,J15,J17)</f>
        <v>3.30064903377089E-12</v>
      </c>
    </row>
    <row r="39" spans="1:19" ht="24" x14ac:dyDescent="0.2">
      <c r="A39" s="4">
        <f>Коэффициенты!A46</f>
        <v>27</v>
      </c>
      <c r="B39" s="66">
        <v>1</v>
      </c>
      <c r="C39" s="69">
        <f>Коэффициенты!B46</f>
        <v>3500</v>
      </c>
      <c r="D39" s="69">
        <f>Коэффициенты!C46</f>
        <v>60</v>
      </c>
      <c r="E39" s="69">
        <f>Коэффициенты!D46</f>
        <v>30</v>
      </c>
      <c r="F39" s="12">
        <f t="shared" si="4"/>
        <v>27.174371325146865</v>
      </c>
      <c r="G39" s="12">
        <f t="shared" si="0"/>
        <v>27.174371325146865</v>
      </c>
      <c r="I39" s="161" t="s">
        <v>22</v>
      </c>
      <c r="J39" s="42" t="b">
        <f>J37&gt;J38</f>
        <v>1</v>
      </c>
      <c r="K39" s="43"/>
      <c r="L39" s="44" t="b">
        <f>M38&lt;J36</f>
        <v>1</v>
      </c>
      <c r="M39" s="157"/>
    </row>
    <row r="40" spans="1:19" x14ac:dyDescent="0.2">
      <c r="A40" s="4">
        <f>Коэффициенты!A47</f>
        <v>28</v>
      </c>
      <c r="B40" s="66">
        <v>1</v>
      </c>
      <c r="C40" s="69">
        <f>Коэффициенты!B47</f>
        <v>3500</v>
      </c>
      <c r="D40" s="69">
        <f>Коэффициенты!C47</f>
        <v>59</v>
      </c>
      <c r="E40" s="69">
        <f>Коэффициенты!D47</f>
        <v>29</v>
      </c>
      <c r="F40" s="12">
        <f t="shared" si="4"/>
        <v>25.687874884324629</v>
      </c>
      <c r="G40" s="12">
        <f t="shared" si="0"/>
        <v>25.687874884324629</v>
      </c>
      <c r="J40" s="17"/>
      <c r="K40" s="17"/>
      <c r="L40" s="17"/>
      <c r="M40" s="17"/>
      <c r="N40" s="17"/>
      <c r="O40" s="17"/>
    </row>
    <row r="41" spans="1:19" x14ac:dyDescent="0.2">
      <c r="A41" s="4">
        <f>Коэффициенты!A48</f>
        <v>29</v>
      </c>
      <c r="B41" s="66">
        <v>1</v>
      </c>
      <c r="C41" s="69">
        <f>Коэффициенты!B48</f>
        <v>3500</v>
      </c>
      <c r="D41" s="69">
        <f>Коэффициенты!C48</f>
        <v>58</v>
      </c>
      <c r="E41" s="69">
        <f>Коэффициенты!D48</f>
        <v>26.5</v>
      </c>
      <c r="F41" s="12">
        <f t="shared" si="4"/>
        <v>24.201378443502378</v>
      </c>
      <c r="G41" s="12">
        <f t="shared" si="0"/>
        <v>24.201378443502378</v>
      </c>
      <c r="I41" s="38"/>
      <c r="J41" s="38"/>
      <c r="K41" s="38"/>
      <c r="L41" s="17"/>
      <c r="M41" s="17"/>
      <c r="O41" s="38"/>
    </row>
    <row r="42" spans="1:19" x14ac:dyDescent="0.2">
      <c r="A42" s="4">
        <f>Коэффициенты!A49</f>
        <v>30</v>
      </c>
      <c r="B42" s="66">
        <v>1</v>
      </c>
      <c r="C42" s="69">
        <f>Коэффициенты!B49</f>
        <v>3600</v>
      </c>
      <c r="D42" s="69">
        <f>Коэффициенты!C49</f>
        <v>58</v>
      </c>
      <c r="E42" s="69">
        <f>Коэффициенты!D49</f>
        <v>24.5</v>
      </c>
      <c r="F42" s="12">
        <f t="shared" si="4"/>
        <v>21.040027762934997</v>
      </c>
      <c r="G42" s="12">
        <f t="shared" si="0"/>
        <v>21.040027762934997</v>
      </c>
      <c r="S42" s="8"/>
    </row>
    <row r="43" spans="1:19" x14ac:dyDescent="0.2">
      <c r="A43" s="4">
        <f>Коэффициенты!A50</f>
        <v>31</v>
      </c>
      <c r="B43" s="66">
        <v>1</v>
      </c>
      <c r="C43" s="69">
        <f>Коэффициенты!B50</f>
        <v>3900</v>
      </c>
      <c r="D43" s="69">
        <f>Коэффициенты!C50</f>
        <v>61</v>
      </c>
      <c r="E43" s="69">
        <f>Коэффициенты!D50</f>
        <v>26.5</v>
      </c>
      <c r="F43" s="12">
        <f t="shared" si="4"/>
        <v>16.015465043699606</v>
      </c>
      <c r="G43" s="12">
        <f t="shared" si="0"/>
        <v>16.015465043699606</v>
      </c>
      <c r="Q43" s="17"/>
      <c r="R43" s="17"/>
    </row>
    <row r="46" spans="1:19" x14ac:dyDescent="0.2">
      <c r="I46" s="17"/>
    </row>
    <row r="47" spans="1:19" x14ac:dyDescent="0.2">
      <c r="I47" s="17"/>
    </row>
    <row r="48" spans="1:19" x14ac:dyDescent="0.2">
      <c r="I48" s="17"/>
    </row>
    <row r="49" spans="9:9" x14ac:dyDescent="0.2">
      <c r="I49" s="17"/>
    </row>
    <row r="50" spans="9:9" x14ac:dyDescent="0.2">
      <c r="I50" s="17"/>
    </row>
    <row r="51" spans="9:9" x14ac:dyDescent="0.2">
      <c r="I51" s="17"/>
    </row>
  </sheetData>
  <conditionalFormatting sqref="J39">
    <cfRule type="cellIs" dxfId="3" priority="4" operator="equal">
      <formula>FALSE</formula>
    </cfRule>
  </conditionalFormatting>
  <conditionalFormatting sqref="L39">
    <cfRule type="cellIs" dxfId="2" priority="1" operator="equal">
      <formula>FALSE</formula>
    </cfRule>
  </conditionalFormatting>
  <hyperlinks>
    <hyperlink ref="A1:F1" r:id="rId1" display="Файл скачан с сайта excel2.ru &gt;&gt;&gt;"/>
    <hyperlink ref="A2" r:id="rId2"/>
    <hyperlink ref="W2" r:id="rId3" display="Задать вопрос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Normal="100" workbookViewId="0">
      <selection activeCell="V2" sqref="V2"/>
    </sheetView>
  </sheetViews>
  <sheetFormatPr defaultRowHeight="12.75" x14ac:dyDescent="0.2"/>
  <cols>
    <col min="1" max="1" width="12.5703125" style="4" customWidth="1"/>
    <col min="2" max="2" width="9" style="4" bestFit="1" customWidth="1"/>
    <col min="3" max="3" width="13.28515625" style="4" customWidth="1"/>
    <col min="4" max="4" width="12.85546875" style="4" customWidth="1"/>
    <col min="5" max="5" width="11.85546875" style="4" customWidth="1"/>
    <col min="6" max="6" width="13.42578125" style="4" bestFit="1" customWidth="1"/>
    <col min="7" max="7" width="9" style="4" bestFit="1" customWidth="1"/>
    <col min="8" max="8" width="13.5703125" style="4" customWidth="1"/>
    <col min="9" max="10" width="18.28515625" style="4" customWidth="1"/>
    <col min="11" max="11" width="11.42578125" style="4" customWidth="1"/>
    <col min="12" max="12" width="14.5703125" style="4" customWidth="1"/>
    <col min="13" max="13" width="15" style="4" customWidth="1"/>
    <col min="14" max="14" width="8.140625" style="4" customWidth="1"/>
    <col min="15" max="15" width="9.140625" style="4" customWidth="1"/>
    <col min="16" max="16" width="16.140625" style="4" customWidth="1"/>
    <col min="17" max="23" width="8.140625" style="4" customWidth="1"/>
    <col min="24" max="256" width="9.140625" style="4"/>
    <col min="257" max="257" width="10" style="4" customWidth="1"/>
    <col min="258" max="16384" width="9.140625" style="4"/>
  </cols>
  <sheetData>
    <row r="1" spans="1:23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91" t="s">
        <v>272</v>
      </c>
      <c r="W2" s="2"/>
    </row>
    <row r="3" spans="1:23" ht="18.75" x14ac:dyDescent="0.2">
      <c r="A3" s="1" t="str">
        <f>Статистика!A3</f>
        <v>Множественная регрессия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9" t="s">
        <v>25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">
      <c r="S5" s="16"/>
    </row>
    <row r="6" spans="1:23" ht="17.25" x14ac:dyDescent="0.25">
      <c r="C6" s="94" t="s">
        <v>81</v>
      </c>
      <c r="D6" s="94" t="s">
        <v>80</v>
      </c>
      <c r="E6" s="95" t="s">
        <v>79</v>
      </c>
      <c r="G6" s="6" t="s">
        <v>20</v>
      </c>
      <c r="H6" s="11">
        <v>0.05</v>
      </c>
      <c r="I6" s="8" t="s">
        <v>241</v>
      </c>
      <c r="J6" s="24" t="s">
        <v>7</v>
      </c>
      <c r="K6" s="23"/>
      <c r="L6" s="23"/>
    </row>
    <row r="7" spans="1:23" x14ac:dyDescent="0.2">
      <c r="A7" s="146" t="s">
        <v>218</v>
      </c>
      <c r="B7" s="147"/>
      <c r="C7" s="14">
        <f t="array" ref="C7:E7">LINEST(E25:E55,C25:D55)</f>
        <v>1.486496440822243</v>
      </c>
      <c r="D7" s="14">
        <v>-3.161350680567377E-2</v>
      </c>
      <c r="E7" s="45">
        <v>48.631858695670488</v>
      </c>
      <c r="G7" s="6" t="s">
        <v>19</v>
      </c>
      <c r="H7" s="6">
        <f>B11</f>
        <v>28</v>
      </c>
      <c r="J7" s="15">
        <f t="array" ref="J7:L9">MINVERSE(MMULT(TRANSPOSE(B25:D55),(B25:D55)))</f>
        <v>3.4087134554280905</v>
      </c>
      <c r="K7" s="15">
        <v>-4.9501876933190293E-4</v>
      </c>
      <c r="L7" s="15">
        <v>-3.2424552679707667E-2</v>
      </c>
    </row>
    <row r="8" spans="1:23" x14ac:dyDescent="0.2">
      <c r="G8" s="6" t="s">
        <v>21</v>
      </c>
      <c r="H8" s="15">
        <f>_xlfn.T.INV.2T(H6,H7)</f>
        <v>2.0484071417952445</v>
      </c>
      <c r="J8" s="15">
        <v>-4.9501876933189914E-4</v>
      </c>
      <c r="K8" s="15">
        <v>2.4186833655004899E-7</v>
      </c>
      <c r="L8" s="15">
        <v>-3.9071225695527816E-6</v>
      </c>
    </row>
    <row r="9" spans="1:23" x14ac:dyDescent="0.2">
      <c r="A9" s="5" t="s">
        <v>13</v>
      </c>
      <c r="B9" s="6">
        <f>MAX(A25:A55)</f>
        <v>31</v>
      </c>
      <c r="C9" s="8" t="s">
        <v>237</v>
      </c>
      <c r="J9" s="15">
        <v>-3.2424552679707855E-2</v>
      </c>
      <c r="K9" s="15">
        <v>-3.9071225695527189E-6</v>
      </c>
      <c r="L9" s="15">
        <v>7.5445466114908654E-4</v>
      </c>
    </row>
    <row r="10" spans="1:23" x14ac:dyDescent="0.2">
      <c r="A10" s="5" t="s">
        <v>236</v>
      </c>
      <c r="B10" s="6">
        <f>COUNT(C7:E7)</f>
        <v>3</v>
      </c>
      <c r="C10" s="8" t="s">
        <v>238</v>
      </c>
    </row>
    <row r="11" spans="1:23" x14ac:dyDescent="0.2">
      <c r="A11" s="5" t="s">
        <v>239</v>
      </c>
      <c r="B11" s="6">
        <f>B9-B10</f>
        <v>28</v>
      </c>
      <c r="C11" s="8" t="s">
        <v>240</v>
      </c>
      <c r="G11" s="38"/>
      <c r="H11" s="40"/>
    </row>
    <row r="12" spans="1:23" x14ac:dyDescent="0.2">
      <c r="A12" s="5" t="s">
        <v>243</v>
      </c>
      <c r="B12" s="14">
        <f>SUMSQ(G25:G55)/B11</f>
        <v>35.083520695734911</v>
      </c>
      <c r="C12" s="8" t="s">
        <v>244</v>
      </c>
    </row>
    <row r="13" spans="1:23" x14ac:dyDescent="0.2">
      <c r="A13" s="173" t="s">
        <v>23</v>
      </c>
      <c r="B13" s="14">
        <f>INDEX(LINEST(E25:E55,C25:D55,,TRUE),3,2)</f>
        <v>5.9231343641466445</v>
      </c>
      <c r="C13" s="14">
        <f>SQRT(B12)</f>
        <v>5.9231343641466472</v>
      </c>
    </row>
    <row r="14" spans="1:23" x14ac:dyDescent="0.2">
      <c r="J14" s="104" t="s">
        <v>266</v>
      </c>
    </row>
    <row r="15" spans="1:23" x14ac:dyDescent="0.2">
      <c r="E15" s="104" t="s">
        <v>248</v>
      </c>
      <c r="J15" s="4" t="s">
        <v>267</v>
      </c>
      <c r="M15" s="4" t="s">
        <v>268</v>
      </c>
    </row>
    <row r="16" spans="1:23" x14ac:dyDescent="0.2">
      <c r="A16" s="104" t="s">
        <v>249</v>
      </c>
      <c r="E16" s="5" t="s">
        <v>250</v>
      </c>
      <c r="F16" s="5" t="s">
        <v>251</v>
      </c>
      <c r="J16" s="5" t="s">
        <v>264</v>
      </c>
      <c r="K16" s="5" t="s">
        <v>265</v>
      </c>
      <c r="M16" s="5" t="s">
        <v>262</v>
      </c>
      <c r="N16" s="5" t="s">
        <v>265</v>
      </c>
    </row>
    <row r="17" spans="1:16" x14ac:dyDescent="0.2">
      <c r="A17" s="155" t="str">
        <f>"Se (b"&amp;3-C17&amp;")"</f>
        <v>Se (b2)</v>
      </c>
      <c r="B17" s="156">
        <f>INDEX(LINEST($E$25:$E$55,$C$25:$D$55,,TRUE),2,C17)</f>
        <v>0.16269273406768212</v>
      </c>
      <c r="C17" s="4">
        <v>1</v>
      </c>
      <c r="E17" s="14">
        <f>$C$7-$H$8*$B17</f>
        <v>1.1532354824398086</v>
      </c>
      <c r="F17" s="14">
        <f>$C$7+$H$8*$B17</f>
        <v>1.8197573992046774</v>
      </c>
      <c r="J17" s="6">
        <f>ABS(C7/B17)</f>
        <v>9.1368336105522872</v>
      </c>
      <c r="K17" s="174" t="b">
        <f>ABS(J17)&gt;$H$8</f>
        <v>1</v>
      </c>
      <c r="M17" s="6">
        <f>_xlfn.T.DIST.2T(J17,$B$9-$B$10)</f>
        <v>6.790715306929685E-10</v>
      </c>
      <c r="N17" s="174" t="b">
        <f>$H$6&gt;M17</f>
        <v>1</v>
      </c>
    </row>
    <row r="18" spans="1:16" x14ac:dyDescent="0.2">
      <c r="A18" s="155" t="str">
        <f>"Se (b"&amp;3-C18&amp;")"</f>
        <v>Se (b1)</v>
      </c>
      <c r="B18" s="156">
        <f>INDEX(LINEST($E$25:$E$55,$C$25:$D$55,,TRUE),2,C18)</f>
        <v>2.9130040835873634E-3</v>
      </c>
      <c r="C18" s="4">
        <v>2</v>
      </c>
      <c r="E18" s="14">
        <f>$D$7-$H$8*$B18</f>
        <v>-3.7580525174572839E-2</v>
      </c>
      <c r="F18" s="14">
        <f>$D$7+$H$8*$B18</f>
        <v>-2.5646488436774702E-2</v>
      </c>
      <c r="J18" s="6">
        <f>ABS(D7/B18)</f>
        <v>10.852544623535765</v>
      </c>
      <c r="K18" s="174" t="b">
        <f t="shared" ref="K18:K19" si="0">ABS(J18)&gt;$H$8</f>
        <v>1</v>
      </c>
      <c r="M18" s="6">
        <f t="shared" ref="M18:M19" si="1">_xlfn.T.DIST.2T(J18,$B$9-$B$10)</f>
        <v>1.5344536343769093E-11</v>
      </c>
      <c r="N18" s="174" t="b">
        <f t="shared" ref="N18:N19" si="2">$H$6&gt;M18</f>
        <v>1</v>
      </c>
    </row>
    <row r="19" spans="1:16" x14ac:dyDescent="0.2">
      <c r="A19" s="155" t="str">
        <f>"Se (b"&amp;3-C19&amp;")"</f>
        <v>Se (b0)</v>
      </c>
      <c r="B19" s="156">
        <f>INDEX(LINEST($E$25:$E$55,$C$25:$D$55,,TRUE),2,C19)</f>
        <v>10.935706152752179</v>
      </c>
      <c r="C19" s="4">
        <v>3</v>
      </c>
      <c r="E19" s="14">
        <f>$E$7-$H$8*$B19</f>
        <v>26.231080111798729</v>
      </c>
      <c r="F19" s="14">
        <f>$E$7+$H$8*$B19</f>
        <v>71.032637279542243</v>
      </c>
      <c r="J19" s="6">
        <f>ABS(E7/B19)</f>
        <v>4.4470707256002262</v>
      </c>
      <c r="K19" s="174" t="b">
        <f t="shared" si="0"/>
        <v>1</v>
      </c>
      <c r="M19" s="6">
        <f t="shared" si="1"/>
        <v>1.2549291578861725E-4</v>
      </c>
      <c r="N19" s="174" t="b">
        <f t="shared" si="2"/>
        <v>1</v>
      </c>
    </row>
    <row r="24" spans="1:16" ht="51" x14ac:dyDescent="0.2">
      <c r="A24" s="166" t="str">
        <f>Статистика!A12</f>
        <v>№Набл.</v>
      </c>
      <c r="B24" s="167" t="str">
        <f>Статистика!B12</f>
        <v>Единицы</v>
      </c>
      <c r="C24" s="172" t="str">
        <f>Статистика!C12</f>
        <v>X1 (Концентрация)</v>
      </c>
      <c r="D24" s="172" t="str">
        <f>Статистика!D12</f>
        <v>X2 (Температура)</v>
      </c>
      <c r="E24" s="172" t="str">
        <f>Статистика!E12</f>
        <v>Y (Прочность)</v>
      </c>
      <c r="F24" s="168" t="s">
        <v>235</v>
      </c>
      <c r="G24" s="171" t="s">
        <v>242</v>
      </c>
      <c r="H24" s="169" t="s">
        <v>27</v>
      </c>
      <c r="I24" s="169" t="s">
        <v>28</v>
      </c>
      <c r="J24" s="169" t="s">
        <v>29</v>
      </c>
      <c r="K24" s="170" t="s">
        <v>26</v>
      </c>
      <c r="L24" s="170" t="s">
        <v>30</v>
      </c>
      <c r="M24" s="170" t="s">
        <v>31</v>
      </c>
    </row>
    <row r="25" spans="1:16" x14ac:dyDescent="0.2">
      <c r="A25" s="4">
        <f>Статистика!A13</f>
        <v>1</v>
      </c>
      <c r="B25" s="4">
        <f>Статистика!B13</f>
        <v>1</v>
      </c>
      <c r="C25" s="4">
        <f>Статистика!C13</f>
        <v>2400</v>
      </c>
      <c r="D25" s="4">
        <f>Статистика!D13</f>
        <v>54.5</v>
      </c>
      <c r="E25" s="4">
        <f>Статистика!E13</f>
        <v>60</v>
      </c>
      <c r="F25" s="12">
        <f>Статистика!F13</f>
        <v>53.773498386865683</v>
      </c>
      <c r="G25" s="12">
        <f>F25-E25</f>
        <v>-6.2265016131343174</v>
      </c>
      <c r="H25" s="12">
        <f t="array" ref="H25">$B$13*SQRT(1+MMULT(MMULT(B25:D25,$J$7:$L$9),TRANSPOSE(B25:D25)))</f>
        <v>6.2413211898284358</v>
      </c>
      <c r="I25" s="12">
        <f t="shared" ref="I25:I55" si="3">$F25+$H$8*$H25</f>
        <v>66.558265286348245</v>
      </c>
      <c r="J25" s="12">
        <f t="shared" ref="J25:J55" si="4">$F25-$H$8*$H25</f>
        <v>40.98873148738312</v>
      </c>
      <c r="K25" s="12">
        <f t="array" ref="K25">$B$13*SQRT(MMULT(MMULT(B25:D25,$J$7:$L$9),TRANSPOSE(B25:D25)))</f>
        <v>1.9673762982374714</v>
      </c>
      <c r="L25" s="152">
        <f t="shared" ref="L25:L55" si="5">$F25+$H$8*$K25</f>
        <v>57.803486046774012</v>
      </c>
      <c r="M25" s="152">
        <f t="shared" ref="M25:M55" si="6">$F25-$H$8*$K25</f>
        <v>49.743510726957354</v>
      </c>
      <c r="N25" s="31"/>
      <c r="O25" s="31"/>
      <c r="P25" s="31"/>
    </row>
    <row r="26" spans="1:16" x14ac:dyDescent="0.2">
      <c r="A26" s="4">
        <f>Статистика!A14</f>
        <v>2</v>
      </c>
      <c r="B26" s="4">
        <f>Статистика!B14</f>
        <v>1</v>
      </c>
      <c r="C26" s="4">
        <f>Статистика!C14</f>
        <v>2450</v>
      </c>
      <c r="D26" s="4">
        <f>Статистика!D14</f>
        <v>56</v>
      </c>
      <c r="E26" s="4">
        <f>Статистика!E14</f>
        <v>61</v>
      </c>
      <c r="F26" s="12">
        <f>Статистика!F14</f>
        <v>54.422567707815347</v>
      </c>
      <c r="G26" s="12">
        <f t="shared" ref="G26:G55" si="7">F26-E26</f>
        <v>-6.5774322921846533</v>
      </c>
      <c r="H26" s="12">
        <f t="array" ref="H26">$B$13*SQRT(1+MMULT(MMULT(B26:D26,$J$7:$L$9),TRANSPOSE(B26:D26)))</f>
        <v>6.2044419963955892</v>
      </c>
      <c r="I26" s="12">
        <f t="shared" si="3"/>
        <v>67.131791004086409</v>
      </c>
      <c r="J26" s="12">
        <f t="shared" si="4"/>
        <v>41.713344411544277</v>
      </c>
      <c r="K26" s="12">
        <f t="array" ref="K26">$B$13*SQRT(MMULT(MMULT(B26:D26,$J$7:$L$9),TRANSPOSE(B26:D26)))</f>
        <v>1.8470462340998401</v>
      </c>
      <c r="L26" s="152">
        <f t="shared" si="5"/>
        <v>58.20607040497147</v>
      </c>
      <c r="M26" s="152">
        <f t="shared" si="6"/>
        <v>50.639065010659223</v>
      </c>
      <c r="N26" s="31"/>
      <c r="O26" s="31"/>
      <c r="P26" s="31"/>
    </row>
    <row r="27" spans="1:16" x14ac:dyDescent="0.2">
      <c r="A27" s="4">
        <f>Статистика!A15</f>
        <v>3</v>
      </c>
      <c r="B27" s="4">
        <f>Статистика!B15</f>
        <v>1</v>
      </c>
      <c r="C27" s="4">
        <f>Статистика!C15</f>
        <v>2450</v>
      </c>
      <c r="D27" s="4">
        <f>Статистика!D15</f>
        <v>58.5</v>
      </c>
      <c r="E27" s="4">
        <f>Статистика!E15</f>
        <v>65</v>
      </c>
      <c r="F27" s="12">
        <f>Статистика!F15</f>
        <v>58.138808809870952</v>
      </c>
      <c r="G27" s="12">
        <f t="shared" si="7"/>
        <v>-6.8611911901290483</v>
      </c>
      <c r="H27" s="12">
        <f t="array" ref="H27">$B$13*SQRT(1+MMULT(MMULT(B27:D27,$J$7:$L$9),TRANSPOSE(B27:D27)))</f>
        <v>6.2213195431800017</v>
      </c>
      <c r="I27" s="12">
        <f t="shared" si="3"/>
        <v>70.882604193511199</v>
      </c>
      <c r="J27" s="12">
        <f t="shared" si="4"/>
        <v>45.395013426230705</v>
      </c>
      <c r="K27" s="12">
        <f t="array" ref="K27">$B$13*SQRT(MMULT(MMULT(B27:D27,$J$7:$L$9),TRANSPOSE(B27:D27)))</f>
        <v>1.9029703525327311</v>
      </c>
      <c r="L27" s="152">
        <f t="shared" si="5"/>
        <v>62.036866870623612</v>
      </c>
      <c r="M27" s="152">
        <f t="shared" si="6"/>
        <v>54.240750749118291</v>
      </c>
      <c r="N27" s="31"/>
      <c r="O27" s="31"/>
      <c r="P27" s="31"/>
    </row>
    <row r="28" spans="1:16" x14ac:dyDescent="0.2">
      <c r="A28" s="4">
        <f>Статистика!A16</f>
        <v>4</v>
      </c>
      <c r="B28" s="4">
        <f>Статистика!B16</f>
        <v>1</v>
      </c>
      <c r="C28" s="4">
        <f>Статистика!C16</f>
        <v>2500</v>
      </c>
      <c r="D28" s="4">
        <f>Статистика!D16</f>
        <v>43</v>
      </c>
      <c r="E28" s="4">
        <f>Статистика!E16</f>
        <v>30.5</v>
      </c>
      <c r="F28" s="12">
        <f>Статистика!F16</f>
        <v>33.517438636842513</v>
      </c>
      <c r="G28" s="12">
        <f t="shared" si="7"/>
        <v>3.0174386368425132</v>
      </c>
      <c r="H28" s="12">
        <f t="array" ref="H28">$B$13*SQRT(1+MMULT(MMULT(B28:D28,$J$7:$L$9),TRANSPOSE(B28:D28)))</f>
        <v>6.5201321176112108</v>
      </c>
      <c r="I28" s="12">
        <f t="shared" si="3"/>
        <v>46.873323832005866</v>
      </c>
      <c r="J28" s="12">
        <f t="shared" si="4"/>
        <v>20.16155344167916</v>
      </c>
      <c r="K28" s="12">
        <f t="array" ref="K28">$B$13*SQRT(MMULT(MMULT(B28:D28,$J$7:$L$9),TRANSPOSE(B28:D28)))</f>
        <v>2.7255462086287201</v>
      </c>
      <c r="L28" s="152">
        <f t="shared" si="5"/>
        <v>39.100466955890532</v>
      </c>
      <c r="M28" s="152">
        <f t="shared" si="6"/>
        <v>27.934410317794491</v>
      </c>
      <c r="N28" s="31"/>
      <c r="O28" s="31"/>
      <c r="P28" s="31"/>
    </row>
    <row r="29" spans="1:16" x14ac:dyDescent="0.2">
      <c r="A29" s="4">
        <f>Статистика!A17</f>
        <v>5</v>
      </c>
      <c r="B29" s="4">
        <f>Статистика!B17</f>
        <v>1</v>
      </c>
      <c r="C29" s="4">
        <f>Статистика!C17</f>
        <v>2500</v>
      </c>
      <c r="D29" s="4">
        <f>Статистика!D17</f>
        <v>58</v>
      </c>
      <c r="E29" s="4">
        <f>Статистика!E17</f>
        <v>63.5</v>
      </c>
      <c r="F29" s="12">
        <f>Статистика!F17</f>
        <v>55.814885249176157</v>
      </c>
      <c r="G29" s="12">
        <f t="shared" si="7"/>
        <v>-7.6851147508238427</v>
      </c>
      <c r="H29" s="12">
        <f t="array" ref="H29">$B$13*SQRT(1+MMULT(MMULT(B29:D29,$J$7:$L$9),TRANSPOSE(B29:D29)))</f>
        <v>6.1810072140491812</v>
      </c>
      <c r="I29" s="12">
        <f t="shared" si="3"/>
        <v>68.476104569922427</v>
      </c>
      <c r="J29" s="12">
        <f t="shared" si="4"/>
        <v>43.153665928429888</v>
      </c>
      <c r="K29" s="12">
        <f t="array" ref="K29">$B$13*SQRT(MMULT(MMULT(B29:D29,$J$7:$L$9),TRANSPOSE(B29:D29)))</f>
        <v>1.7667284693447209</v>
      </c>
      <c r="L29" s="152">
        <f t="shared" si="5"/>
        <v>59.433864463394862</v>
      </c>
      <c r="M29" s="152">
        <f t="shared" si="6"/>
        <v>52.195906034957453</v>
      </c>
      <c r="N29" s="31"/>
      <c r="O29" s="31"/>
      <c r="P29" s="31"/>
    </row>
    <row r="30" spans="1:16" x14ac:dyDescent="0.2">
      <c r="A30" s="4">
        <f>Статистика!A18</f>
        <v>6</v>
      </c>
      <c r="B30" s="4">
        <f>Статистика!B18</f>
        <v>1</v>
      </c>
      <c r="C30" s="4">
        <f>Статистика!C18</f>
        <v>2500</v>
      </c>
      <c r="D30" s="4">
        <f>Статистика!D18</f>
        <v>59</v>
      </c>
      <c r="E30" s="4">
        <f>Статистика!E18</f>
        <v>65</v>
      </c>
      <c r="F30" s="12">
        <f>Статистика!F18</f>
        <v>57.301381689998408</v>
      </c>
      <c r="G30" s="12">
        <f t="shared" si="7"/>
        <v>-7.6986183100015921</v>
      </c>
      <c r="H30" s="12">
        <f t="array" ref="H30">$B$13*SQRT(1+MMULT(MMULT(B30:D30,$J$7:$L$9),TRANSPOSE(B30:D30)))</f>
        <v>6.1920272513577927</v>
      </c>
      <c r="I30" s="12">
        <f t="shared" si="3"/>
        <v>69.985174533870492</v>
      </c>
      <c r="J30" s="12">
        <f t="shared" si="4"/>
        <v>44.617588846126324</v>
      </c>
      <c r="K30" s="12">
        <f t="array" ref="K30">$B$13*SQRT(MMULT(MMULT(B30:D30,$J$7:$L$9),TRANSPOSE(B30:D30)))</f>
        <v>1.8049046472937751</v>
      </c>
      <c r="L30" s="152">
        <f t="shared" si="5"/>
        <v>60.998561259774405</v>
      </c>
      <c r="M30" s="152">
        <f t="shared" si="6"/>
        <v>53.604202120222411</v>
      </c>
      <c r="N30" s="31"/>
      <c r="O30" s="31"/>
      <c r="P30" s="31"/>
    </row>
    <row r="31" spans="1:16" x14ac:dyDescent="0.2">
      <c r="A31" s="4">
        <f>Статистика!A19</f>
        <v>7</v>
      </c>
      <c r="B31" s="4">
        <f>Статистика!B19</f>
        <v>1</v>
      </c>
      <c r="C31" s="4">
        <f>Статистика!C19</f>
        <v>2700</v>
      </c>
      <c r="D31" s="4">
        <f>Статистика!D19</f>
        <v>52.5</v>
      </c>
      <c r="E31" s="4">
        <f>Статистика!E19</f>
        <v>44</v>
      </c>
      <c r="F31" s="12">
        <f>Статистика!F19</f>
        <v>41.316453463519068</v>
      </c>
      <c r="G31" s="12">
        <f t="shared" si="7"/>
        <v>-2.6835465364809323</v>
      </c>
      <c r="H31" s="12">
        <f t="array" ref="H31">$B$13*SQRT(1+MMULT(MMULT(B31:D31,$J$7:$L$9),TRANSPOSE(B31:D31)))</f>
        <v>6.1156201809594997</v>
      </c>
      <c r="I31" s="12">
        <f t="shared" si="3"/>
        <v>53.84373351870363</v>
      </c>
      <c r="J31" s="12">
        <f t="shared" si="4"/>
        <v>28.789173408334502</v>
      </c>
      <c r="K31" s="12">
        <f t="array" ref="K31">$B$13*SQRT(MMULT(MMULT(B31:D31,$J$7:$L$9),TRANSPOSE(B31:D31)))</f>
        <v>1.5222645965876744</v>
      </c>
      <c r="L31" s="152">
        <f t="shared" si="5"/>
        <v>44.434671134871316</v>
      </c>
      <c r="M31" s="152">
        <f t="shared" si="6"/>
        <v>38.19823579216682</v>
      </c>
      <c r="N31" s="31"/>
      <c r="O31" s="31"/>
      <c r="P31" s="31"/>
    </row>
    <row r="32" spans="1:16" x14ac:dyDescent="0.2">
      <c r="A32" s="4">
        <f>Статистика!A20</f>
        <v>8</v>
      </c>
      <c r="B32" s="4">
        <f>Статистика!B20</f>
        <v>1</v>
      </c>
      <c r="C32" s="4">
        <f>Статистика!C20</f>
        <v>2700</v>
      </c>
      <c r="D32" s="4">
        <f>Статистика!D20</f>
        <v>65.5</v>
      </c>
      <c r="E32" s="4">
        <f>Статистика!E20</f>
        <v>52</v>
      </c>
      <c r="F32" s="12">
        <f>Статистика!F20</f>
        <v>60.640907194208225</v>
      </c>
      <c r="G32" s="12">
        <f t="shared" si="7"/>
        <v>8.640907194208225</v>
      </c>
      <c r="H32" s="12">
        <f t="array" ref="H32">$B$13*SQRT(1+MMULT(MMULT(B32:D32,$J$7:$L$9),TRANSPOSE(B32:D32)))</f>
        <v>6.2293402499725552</v>
      </c>
      <c r="I32" s="12">
        <f t="shared" si="3"/>
        <v>73.401132250924576</v>
      </c>
      <c r="J32" s="12">
        <f t="shared" si="4"/>
        <v>47.880682137491867</v>
      </c>
      <c r="K32" s="12">
        <f t="array" ref="K32">$B$13*SQRT(MMULT(MMULT(B32:D32,$J$7:$L$9),TRANSPOSE(B32:D32)))</f>
        <v>1.9290306514395423</v>
      </c>
      <c r="L32" s="152">
        <f t="shared" si="5"/>
        <v>64.592347357358918</v>
      </c>
      <c r="M32" s="152">
        <f t="shared" si="6"/>
        <v>56.689467031057532</v>
      </c>
      <c r="N32" s="31"/>
      <c r="O32" s="31"/>
      <c r="P32" s="31"/>
    </row>
    <row r="33" spans="1:16" x14ac:dyDescent="0.2">
      <c r="A33" s="4">
        <f>Статистика!A21</f>
        <v>9</v>
      </c>
      <c r="B33" s="4">
        <f>Статистика!B21</f>
        <v>1</v>
      </c>
      <c r="C33" s="4">
        <f>Статистика!C21</f>
        <v>2700</v>
      </c>
      <c r="D33" s="4">
        <f>Статистика!D21</f>
        <v>68</v>
      </c>
      <c r="E33" s="4">
        <f>Статистика!E21</f>
        <v>54.5</v>
      </c>
      <c r="F33" s="12">
        <f>Статистика!F21</f>
        <v>64.35714829626383</v>
      </c>
      <c r="G33" s="12">
        <f t="shared" si="7"/>
        <v>9.8571482962638299</v>
      </c>
      <c r="H33" s="12">
        <f t="array" ref="H33">$B$13*SQRT(1+MMULT(MMULT(B33:D33,$J$7:$L$9),TRANSPOSE(B33:D33)))</f>
        <v>6.3324818020944207</v>
      </c>
      <c r="I33" s="12">
        <f t="shared" si="3"/>
        <v>77.328649244962463</v>
      </c>
      <c r="J33" s="12">
        <f t="shared" si="4"/>
        <v>51.385647347565197</v>
      </c>
      <c r="K33" s="12">
        <f t="array" ref="K33">$B$13*SQRT(MMULT(MMULT(B33:D33,$J$7:$L$9),TRANSPOSE(B33:D33)))</f>
        <v>2.2398225550525499</v>
      </c>
      <c r="L33" s="152">
        <f t="shared" si="5"/>
        <v>68.94521681438755</v>
      </c>
      <c r="M33" s="152">
        <f t="shared" si="6"/>
        <v>59.769079778140117</v>
      </c>
      <c r="N33" s="31"/>
      <c r="O33" s="31"/>
      <c r="P33" s="31"/>
    </row>
    <row r="34" spans="1:16" x14ac:dyDescent="0.2">
      <c r="A34" s="4">
        <f>Статистика!A22</f>
        <v>10</v>
      </c>
      <c r="B34" s="4">
        <f>Статистика!B22</f>
        <v>1</v>
      </c>
      <c r="C34" s="4">
        <f>Статистика!C22</f>
        <v>2750</v>
      </c>
      <c r="D34" s="4">
        <f>Статистика!D22</f>
        <v>45</v>
      </c>
      <c r="E34" s="4">
        <f>Статистика!E22</f>
        <v>30</v>
      </c>
      <c r="F34" s="12">
        <f>Статистика!F22</f>
        <v>28.587054817068548</v>
      </c>
      <c r="G34" s="12">
        <f t="shared" si="7"/>
        <v>-1.4129451829314519</v>
      </c>
      <c r="H34" s="12">
        <f t="array" ref="H34">$B$13*SQRT(1+MMULT(MMULT(B34:D34,$J$7:$L$9),TRANSPOSE(B34:D34)))</f>
        <v>6.3733245886071845</v>
      </c>
      <c r="I34" s="12">
        <f t="shared" si="3"/>
        <v>41.642218421350748</v>
      </c>
      <c r="J34" s="12">
        <f t="shared" si="4"/>
        <v>15.531891212786352</v>
      </c>
      <c r="K34" s="12">
        <f t="array" ref="K34">$B$13*SQRT(MMULT(MMULT(B34:D34,$J$7:$L$9),TRANSPOSE(B34:D34)))</f>
        <v>2.3528165283357887</v>
      </c>
      <c r="L34" s="152">
        <f t="shared" si="5"/>
        <v>33.406580997045474</v>
      </c>
      <c r="M34" s="152">
        <f t="shared" si="6"/>
        <v>23.767528637091626</v>
      </c>
      <c r="N34" s="31"/>
      <c r="O34" s="31"/>
      <c r="P34" s="31"/>
    </row>
    <row r="35" spans="1:16" x14ac:dyDescent="0.2">
      <c r="A35" s="4">
        <f>Статистика!A23</f>
        <v>11</v>
      </c>
      <c r="B35" s="4">
        <f>Статистика!B23</f>
        <v>1</v>
      </c>
      <c r="C35" s="4">
        <f>Статистика!C23</f>
        <v>2775</v>
      </c>
      <c r="D35" s="4">
        <f>Статистика!D23</f>
        <v>45.5</v>
      </c>
      <c r="E35" s="4">
        <f>Статистика!E23</f>
        <v>26</v>
      </c>
      <c r="F35" s="12">
        <f>Статистика!F23</f>
        <v>28.539965367337828</v>
      </c>
      <c r="G35" s="12">
        <f t="shared" si="7"/>
        <v>2.5399653673378282</v>
      </c>
      <c r="H35" s="12">
        <f t="array" ref="H35">$B$13*SQRT(1+MMULT(MMULT(B35:D35,$J$7:$L$9),TRANSPOSE(B35:D35)))</f>
        <v>6.3477819125898636</v>
      </c>
      <c r="I35" s="12">
        <f t="shared" si="3"/>
        <v>41.542807171645578</v>
      </c>
      <c r="J35" s="12">
        <f t="shared" si="4"/>
        <v>15.537123563030075</v>
      </c>
      <c r="K35" s="12">
        <f t="array" ref="K35">$B$13*SQRT(MMULT(MMULT(B35:D35,$J$7:$L$9),TRANSPOSE(B35:D35)))</f>
        <v>2.2827208576758014</v>
      </c>
      <c r="L35" s="152">
        <f t="shared" si="5"/>
        <v>33.215907074925909</v>
      </c>
      <c r="M35" s="152">
        <f t="shared" si="6"/>
        <v>23.864023659749751</v>
      </c>
      <c r="N35" s="31"/>
      <c r="O35" s="31"/>
      <c r="P35" s="31"/>
    </row>
    <row r="36" spans="1:16" x14ac:dyDescent="0.2">
      <c r="A36" s="4">
        <f>Статистика!A24</f>
        <v>12</v>
      </c>
      <c r="B36" s="4">
        <f>Статистика!B24</f>
        <v>1</v>
      </c>
      <c r="C36" s="4">
        <f>Статистика!C24</f>
        <v>2800</v>
      </c>
      <c r="D36" s="4">
        <f>Статистика!D24</f>
        <v>48</v>
      </c>
      <c r="E36" s="4">
        <f>Статистика!E24</f>
        <v>23</v>
      </c>
      <c r="F36" s="12">
        <f>Статистика!F24</f>
        <v>31.465868799251581</v>
      </c>
      <c r="G36" s="12">
        <f t="shared" si="7"/>
        <v>8.4658687992515809</v>
      </c>
      <c r="H36" s="12">
        <f t="array" ref="H36">$B$13*SQRT(1+MMULT(MMULT(B36:D36,$J$7:$L$9),TRANSPOSE(B36:D36)))</f>
        <v>6.2351449912659413</v>
      </c>
      <c r="I36" s="12">
        <f t="shared" si="3"/>
        <v>44.237984329489585</v>
      </c>
      <c r="J36" s="12">
        <f t="shared" si="4"/>
        <v>18.693753269013577</v>
      </c>
      <c r="K36" s="12">
        <f t="array" ref="K36">$B$13*SQRT(MMULT(MMULT(B36:D36,$J$7:$L$9),TRANSPOSE(B36:D36)))</f>
        <v>1.9476941151972225</v>
      </c>
      <c r="L36" s="152">
        <f t="shared" si="5"/>
        <v>35.455539334854144</v>
      </c>
      <c r="M36" s="152">
        <f t="shared" si="6"/>
        <v>27.476198263649021</v>
      </c>
      <c r="N36" s="31"/>
      <c r="O36" s="31"/>
      <c r="P36" s="31"/>
    </row>
    <row r="37" spans="1:16" x14ac:dyDescent="0.2">
      <c r="A37" s="4">
        <f>Статистика!A25</f>
        <v>13</v>
      </c>
      <c r="B37" s="4">
        <f>Статистика!B25</f>
        <v>1</v>
      </c>
      <c r="C37" s="4">
        <f>Статистика!C25</f>
        <v>2800</v>
      </c>
      <c r="D37" s="4">
        <f>Статистика!D25</f>
        <v>63</v>
      </c>
      <c r="E37" s="4">
        <f>Статистика!E25</f>
        <v>54</v>
      </c>
      <c r="F37" s="12">
        <f>Статистика!F25</f>
        <v>53.763315411585239</v>
      </c>
      <c r="G37" s="12">
        <f t="shared" si="7"/>
        <v>-0.23668458841476081</v>
      </c>
      <c r="H37" s="12">
        <f t="array" ref="H37">$B$13*SQRT(1+MMULT(MMULT(B37:D37,$J$7:$L$9),TRANSPOSE(B37:D37)))</f>
        <v>6.1078980614551091</v>
      </c>
      <c r="I37" s="12">
        <f t="shared" si="3"/>
        <v>66.274777422027213</v>
      </c>
      <c r="J37" s="12">
        <f t="shared" si="4"/>
        <v>41.251853401143265</v>
      </c>
      <c r="K37" s="12">
        <f t="array" ref="K37">$B$13*SQRT(MMULT(MMULT(B37:D37,$J$7:$L$9),TRANSPOSE(B37:D37)))</f>
        <v>1.4909386417261448</v>
      </c>
      <c r="L37" s="152">
        <f t="shared" si="5"/>
        <v>56.817364773275578</v>
      </c>
      <c r="M37" s="152">
        <f t="shared" si="6"/>
        <v>50.7092660498949</v>
      </c>
      <c r="N37" s="31"/>
      <c r="O37" s="31"/>
      <c r="P37" s="31"/>
    </row>
    <row r="38" spans="1:16" x14ac:dyDescent="0.2">
      <c r="A38" s="4">
        <f>Статистика!A26</f>
        <v>14</v>
      </c>
      <c r="B38" s="4">
        <f>Статистика!B26</f>
        <v>1</v>
      </c>
      <c r="C38" s="4">
        <f>Статистика!C26</f>
        <v>2900</v>
      </c>
      <c r="D38" s="4">
        <f>Статистика!D26</f>
        <v>58.5</v>
      </c>
      <c r="E38" s="4">
        <f>Статистика!E26</f>
        <v>36</v>
      </c>
      <c r="F38" s="12">
        <f>Статистика!F26</f>
        <v>43.912730747317767</v>
      </c>
      <c r="G38" s="12">
        <f t="shared" si="7"/>
        <v>7.9127307473177666</v>
      </c>
      <c r="H38" s="12">
        <f t="array" ref="H38">$B$13*SQRT(1+MMULT(MMULT(B38:D38,$J$7:$L$9),TRANSPOSE(B38:D38)))</f>
        <v>6.0238317730719055</v>
      </c>
      <c r="I38" s="12">
        <f t="shared" si="3"/>
        <v>56.251990772251368</v>
      </c>
      <c r="J38" s="12">
        <f t="shared" si="4"/>
        <v>31.573470722384165</v>
      </c>
      <c r="K38" s="12">
        <f t="array" ref="K38">$B$13*SQRT(MMULT(MMULT(B38:D38,$J$7:$L$9),TRANSPOSE(B38:D38)))</f>
        <v>1.0968265745028902</v>
      </c>
      <c r="L38" s="152">
        <f t="shared" si="5"/>
        <v>46.159478135840303</v>
      </c>
      <c r="M38" s="152">
        <f t="shared" si="6"/>
        <v>41.665983358795231</v>
      </c>
      <c r="N38" s="31"/>
      <c r="O38" s="31"/>
      <c r="P38" s="31"/>
    </row>
    <row r="39" spans="1:16" x14ac:dyDescent="0.2">
      <c r="A39" s="4">
        <f>Статистика!A27</f>
        <v>15</v>
      </c>
      <c r="B39" s="4">
        <f>Статистика!B27</f>
        <v>1</v>
      </c>
      <c r="C39" s="4">
        <f>Статистика!C27</f>
        <v>2900</v>
      </c>
      <c r="D39" s="4">
        <f>Статистика!D27</f>
        <v>64.5</v>
      </c>
      <c r="E39" s="4">
        <f>Статистика!E27</f>
        <v>53.5</v>
      </c>
      <c r="F39" s="12">
        <f>Статистика!F27</f>
        <v>52.831709392251227</v>
      </c>
      <c r="G39" s="12">
        <f t="shared" si="7"/>
        <v>-0.66829060774877291</v>
      </c>
      <c r="H39" s="12">
        <f t="array" ref="H39">$B$13*SQRT(1+MMULT(MMULT(B39:D39,$J$7:$L$9),TRANSPOSE(B39:D39)))</f>
        <v>6.1155192265390177</v>
      </c>
      <c r="I39" s="12">
        <f t="shared" si="3"/>
        <v>65.358782651679888</v>
      </c>
      <c r="J39" s="12">
        <f t="shared" si="4"/>
        <v>40.304636132822573</v>
      </c>
      <c r="K39" s="12">
        <f t="array" ref="K39">$B$13*SQRT(MMULT(MMULT(B39:D39,$J$7:$L$9),TRANSPOSE(B39:D39)))</f>
        <v>1.5218589666698792</v>
      </c>
      <c r="L39" s="152">
        <f t="shared" si="5"/>
        <v>55.949096168382937</v>
      </c>
      <c r="M39" s="152">
        <f t="shared" si="6"/>
        <v>49.714322616119517</v>
      </c>
      <c r="N39" s="31"/>
      <c r="O39" s="31"/>
      <c r="P39" s="31"/>
    </row>
    <row r="40" spans="1:16" x14ac:dyDescent="0.2">
      <c r="A40" s="4">
        <f>Статистика!A28</f>
        <v>16</v>
      </c>
      <c r="B40" s="4">
        <f>Статистика!B28</f>
        <v>1</v>
      </c>
      <c r="C40" s="4">
        <f>Статистика!C28</f>
        <v>3000</v>
      </c>
      <c r="D40" s="4">
        <f>Статистика!D28</f>
        <v>66</v>
      </c>
      <c r="E40" s="4">
        <f>Статистика!E28</f>
        <v>57</v>
      </c>
      <c r="F40" s="12">
        <f>Статистика!F28</f>
        <v>51.900103372917215</v>
      </c>
      <c r="G40" s="12">
        <f t="shared" si="7"/>
        <v>-5.099896627082785</v>
      </c>
      <c r="H40" s="12">
        <f t="array" ref="H40">$B$13*SQRT(1+MMULT(MMULT(B40:D40,$J$7:$L$9),TRANSPOSE(B40:D40)))</f>
        <v>6.139976281993663</v>
      </c>
      <c r="I40" s="12">
        <f t="shared" si="3"/>
        <v>64.477274639406446</v>
      </c>
      <c r="J40" s="12">
        <f t="shared" si="4"/>
        <v>39.322932106427984</v>
      </c>
      <c r="K40" s="12">
        <f t="array" ref="K40">$B$13*SQRT(MMULT(MMULT(B40:D40,$J$7:$L$9),TRANSPOSE(B40:D40)))</f>
        <v>1.6173398058880026</v>
      </c>
      <c r="L40" s="152">
        <f t="shared" si="5"/>
        <v>55.213073782007932</v>
      </c>
      <c r="M40" s="152">
        <f t="shared" si="6"/>
        <v>48.587132963826498</v>
      </c>
      <c r="N40" s="31"/>
      <c r="O40" s="31"/>
      <c r="P40" s="31"/>
    </row>
    <row r="41" spans="1:16" x14ac:dyDescent="0.2">
      <c r="A41" s="4">
        <f>Статистика!A29</f>
        <v>17</v>
      </c>
      <c r="B41" s="4">
        <f>Статистика!B29</f>
        <v>1</v>
      </c>
      <c r="C41" s="4">
        <f>Статистика!C29</f>
        <v>3075</v>
      </c>
      <c r="D41" s="4">
        <f>Статистика!D29</f>
        <v>57</v>
      </c>
      <c r="E41" s="4">
        <f>Статистика!E29</f>
        <v>33.5</v>
      </c>
      <c r="F41" s="12">
        <f>Статистика!F29</f>
        <v>36.150622395091503</v>
      </c>
      <c r="G41" s="12">
        <f t="shared" si="7"/>
        <v>2.6506223950915029</v>
      </c>
      <c r="H41" s="12">
        <f t="array" ref="H41">$B$13*SQRT(1+MMULT(MMULT(B41:D41,$J$7:$L$9),TRANSPOSE(B41:D41)))</f>
        <v>6.0303985853652842</v>
      </c>
      <c r="I41" s="12">
        <f t="shared" si="3"/>
        <v>48.503333925225689</v>
      </c>
      <c r="J41" s="12">
        <f t="shared" si="4"/>
        <v>23.797910864957316</v>
      </c>
      <c r="K41" s="12">
        <f t="array" ref="K41">$B$13*SQRT(MMULT(MMULT(B41:D41,$J$7:$L$9),TRANSPOSE(B41:D41)))</f>
        <v>1.1323367002092384</v>
      </c>
      <c r="L41" s="152">
        <f t="shared" si="5"/>
        <v>38.470108978716965</v>
      </c>
      <c r="M41" s="152">
        <f t="shared" si="6"/>
        <v>33.831135811466041</v>
      </c>
      <c r="N41" s="31"/>
      <c r="O41" s="31"/>
      <c r="P41" s="31"/>
    </row>
    <row r="42" spans="1:16" x14ac:dyDescent="0.2">
      <c r="A42" s="4">
        <f>Статистика!A30</f>
        <v>18</v>
      </c>
      <c r="B42" s="4">
        <f>Статистика!B30</f>
        <v>1</v>
      </c>
      <c r="C42" s="4">
        <f>Статистика!C30</f>
        <v>3100</v>
      </c>
      <c r="D42" s="4">
        <f>Статистика!D30</f>
        <v>57.5</v>
      </c>
      <c r="E42" s="4">
        <f>Статистика!E30</f>
        <v>34</v>
      </c>
      <c r="F42" s="12">
        <f>Статистика!F30</f>
        <v>36.103532945360769</v>
      </c>
      <c r="G42" s="12">
        <f t="shared" si="7"/>
        <v>2.1035329453607687</v>
      </c>
      <c r="H42" s="12">
        <f t="array" ref="H42">$B$13*SQRT(1+MMULT(MMULT(B42:D42,$J$7:$L$9),TRANSPOSE(B42:D42)))</f>
        <v>6.0307129797017724</v>
      </c>
      <c r="I42" s="12">
        <f t="shared" si="3"/>
        <v>48.456888483099156</v>
      </c>
      <c r="J42" s="12">
        <f t="shared" si="4"/>
        <v>23.750177407622381</v>
      </c>
      <c r="K42" s="12">
        <f t="array" ref="K42">$B$13*SQRT(MMULT(MMULT(B42:D42,$J$7:$L$9),TRANSPOSE(B42:D42)))</f>
        <v>1.1340098534882983</v>
      </c>
      <c r="L42" s="152">
        <f t="shared" si="5"/>
        <v>38.426446828112375</v>
      </c>
      <c r="M42" s="152">
        <f t="shared" si="6"/>
        <v>33.780619062609162</v>
      </c>
      <c r="N42" s="31"/>
      <c r="O42" s="31"/>
      <c r="P42" s="31"/>
    </row>
    <row r="43" spans="1:16" x14ac:dyDescent="0.2">
      <c r="A43" s="4">
        <f>Статистика!A31</f>
        <v>19</v>
      </c>
      <c r="B43" s="4">
        <f>Статистика!B31</f>
        <v>1</v>
      </c>
      <c r="C43" s="4">
        <f>Статистика!C31</f>
        <v>3150</v>
      </c>
      <c r="D43" s="4">
        <f>Статистика!D31</f>
        <v>64</v>
      </c>
      <c r="E43" s="4">
        <f>Статистика!E31</f>
        <v>44</v>
      </c>
      <c r="F43" s="12">
        <f>Статистика!F31</f>
        <v>44.185084470421657</v>
      </c>
      <c r="G43" s="12">
        <f t="shared" si="7"/>
        <v>0.18508447042165699</v>
      </c>
      <c r="H43" s="12">
        <f t="array" ref="H43">$B$13*SQRT(1+MMULT(MMULT(B43:D43,$J$7:$L$9),TRANSPOSE(B43:D43)))</f>
        <v>6.0826451863396445</v>
      </c>
      <c r="I43" s="12">
        <f t="shared" si="3"/>
        <v>56.644818311126251</v>
      </c>
      <c r="J43" s="12">
        <f t="shared" si="4"/>
        <v>31.725350629717063</v>
      </c>
      <c r="K43" s="12">
        <f t="array" ref="K43">$B$13*SQRT(MMULT(MMULT(B43:D43,$J$7:$L$9),TRANSPOSE(B43:D43)))</f>
        <v>1.3838539544207593</v>
      </c>
      <c r="L43" s="152">
        <f t="shared" si="5"/>
        <v>47.019780793858729</v>
      </c>
      <c r="M43" s="152">
        <f t="shared" si="6"/>
        <v>41.350388146984585</v>
      </c>
      <c r="N43" s="31"/>
      <c r="O43" s="31"/>
      <c r="P43" s="31"/>
    </row>
    <row r="44" spans="1:16" x14ac:dyDescent="0.2">
      <c r="A44" s="4">
        <f>Статистика!A32</f>
        <v>20</v>
      </c>
      <c r="B44" s="4">
        <f>Статистика!B32</f>
        <v>1</v>
      </c>
      <c r="C44" s="4">
        <f>Статистика!C32</f>
        <v>3200</v>
      </c>
      <c r="D44" s="4">
        <f>Статистика!D32</f>
        <v>57</v>
      </c>
      <c r="E44" s="4">
        <f>Статистика!E32</f>
        <v>33</v>
      </c>
      <c r="F44" s="12">
        <f>Статистика!F32</f>
        <v>32.19893404438227</v>
      </c>
      <c r="G44" s="12">
        <f t="shared" si="7"/>
        <v>-0.8010659556177302</v>
      </c>
      <c r="H44" s="12">
        <f t="array" ref="H44">$B$13*SQRT(1+MMULT(MMULT(B44:D44,$J$7:$L$9),TRANSPOSE(B44:D44)))</f>
        <v>6.0602405985948655</v>
      </c>
      <c r="I44" s="12">
        <f t="shared" si="3"/>
        <v>44.612774167541481</v>
      </c>
      <c r="J44" s="12">
        <f t="shared" si="4"/>
        <v>19.785093921223059</v>
      </c>
      <c r="K44" s="12">
        <f t="array" ref="K44">$B$13*SQRT(MMULT(MMULT(B44:D44,$J$7:$L$9),TRANSPOSE(B44:D44)))</f>
        <v>1.2817938278532095</v>
      </c>
      <c r="L44" s="152">
        <f t="shared" si="5"/>
        <v>34.824569675665849</v>
      </c>
      <c r="M44" s="152">
        <f t="shared" si="6"/>
        <v>29.573298413098691</v>
      </c>
      <c r="N44" s="31"/>
      <c r="O44" s="31"/>
      <c r="P44" s="31"/>
    </row>
    <row r="45" spans="1:16" x14ac:dyDescent="0.2">
      <c r="A45" s="4">
        <f>Статистика!A33</f>
        <v>21</v>
      </c>
      <c r="B45" s="4">
        <f>Статистика!B33</f>
        <v>1</v>
      </c>
      <c r="C45" s="4">
        <f>Статистика!C33</f>
        <v>3200</v>
      </c>
      <c r="D45" s="4">
        <f>Статистика!D33</f>
        <v>64</v>
      </c>
      <c r="E45" s="4">
        <f>Статистика!E33</f>
        <v>39</v>
      </c>
      <c r="F45" s="12">
        <f>Статистика!F33</f>
        <v>42.604409130137967</v>
      </c>
      <c r="G45" s="12">
        <f t="shared" si="7"/>
        <v>3.6044091301379666</v>
      </c>
      <c r="H45" s="12">
        <f t="array" ref="H45">$B$13*SQRT(1+MMULT(MMULT(B45:D45,$J$7:$L$9),TRANSPOSE(B45:D45)))</f>
        <v>6.0892334583910515</v>
      </c>
      <c r="I45" s="12">
        <f t="shared" si="3"/>
        <v>55.077638434364751</v>
      </c>
      <c r="J45" s="12">
        <f t="shared" si="4"/>
        <v>30.131179825911182</v>
      </c>
      <c r="K45" s="12">
        <f t="array" ref="K45">$B$13*SQRT(MMULT(MMULT(B45:D45,$J$7:$L$9),TRANSPOSE(B45:D45)))</f>
        <v>1.4125308545494399</v>
      </c>
      <c r="L45" s="152">
        <f t="shared" si="5"/>
        <v>45.497847420603179</v>
      </c>
      <c r="M45" s="152">
        <f t="shared" si="6"/>
        <v>39.710970839672754</v>
      </c>
      <c r="N45" s="31"/>
      <c r="O45" s="31"/>
      <c r="P45" s="31"/>
    </row>
    <row r="46" spans="1:16" x14ac:dyDescent="0.2">
      <c r="A46" s="4">
        <f>Статистика!A34</f>
        <v>22</v>
      </c>
      <c r="B46" s="4">
        <f>Статистика!B34</f>
        <v>1</v>
      </c>
      <c r="C46" s="4">
        <f>Статистика!C34</f>
        <v>3200</v>
      </c>
      <c r="D46" s="4">
        <f>Статистика!D34</f>
        <v>69</v>
      </c>
      <c r="E46" s="4">
        <f>Статистика!E34</f>
        <v>53</v>
      </c>
      <c r="F46" s="12">
        <f>Статистика!F34</f>
        <v>50.036891334249177</v>
      </c>
      <c r="G46" s="12">
        <f t="shared" si="7"/>
        <v>-2.9631086657508234</v>
      </c>
      <c r="H46" s="12">
        <f t="array" ref="H46">$B$13*SQRT(1+MMULT(MMULT(B46:D46,$J$7:$L$9),TRANSPOSE(B46:D46)))</f>
        <v>6.2384697936835751</v>
      </c>
      <c r="I46" s="12">
        <f t="shared" si="3"/>
        <v>62.815817413504519</v>
      </c>
      <c r="J46" s="12">
        <f t="shared" si="4"/>
        <v>37.257965254993834</v>
      </c>
      <c r="K46" s="12">
        <f t="array" ref="K46">$B$13*SQRT(MMULT(MMULT(B46:D46,$J$7:$L$9),TRANSPOSE(B46:D46)))</f>
        <v>1.9583116889217391</v>
      </c>
      <c r="L46" s="152">
        <f t="shared" si="5"/>
        <v>54.048310983697576</v>
      </c>
      <c r="M46" s="152">
        <f t="shared" si="6"/>
        <v>46.025471684800777</v>
      </c>
      <c r="N46" s="31"/>
      <c r="O46" s="31"/>
      <c r="P46" s="31"/>
    </row>
    <row r="47" spans="1:16" x14ac:dyDescent="0.2">
      <c r="A47" s="4">
        <f>Статистика!A35</f>
        <v>23</v>
      </c>
      <c r="B47" s="4">
        <f>Статистика!B35</f>
        <v>1</v>
      </c>
      <c r="C47" s="4">
        <f>Статистика!C35</f>
        <v>3225</v>
      </c>
      <c r="D47" s="4">
        <f>Статистика!D35</f>
        <v>68</v>
      </c>
      <c r="E47" s="4">
        <f>Статистика!E35</f>
        <v>38.5</v>
      </c>
      <c r="F47" s="12">
        <f>Статистика!F35</f>
        <v>47.760057223285102</v>
      </c>
      <c r="G47" s="12">
        <f t="shared" si="7"/>
        <v>9.2600572232851022</v>
      </c>
      <c r="H47" s="12">
        <f t="array" ref="H47">$B$13*SQRT(1+MMULT(MMULT(B47:D47,$J$7:$L$9),TRANSPOSE(B47:D47)))</f>
        <v>6.2026826938001038</v>
      </c>
      <c r="I47" s="12">
        <f t="shared" si="3"/>
        <v>60.465676751555002</v>
      </c>
      <c r="J47" s="12">
        <f t="shared" si="4"/>
        <v>35.054437695015203</v>
      </c>
      <c r="K47" s="12">
        <f t="array" ref="K47">$B$13*SQRT(MMULT(MMULT(B47:D47,$J$7:$L$9),TRANSPOSE(B47:D47)))</f>
        <v>1.8411278891571987</v>
      </c>
      <c r="L47" s="152">
        <f t="shared" si="5"/>
        <v>51.531436740393112</v>
      </c>
      <c r="M47" s="152">
        <f t="shared" si="6"/>
        <v>43.988677706177093</v>
      </c>
      <c r="N47" s="31"/>
      <c r="O47" s="31"/>
      <c r="P47" s="31"/>
    </row>
    <row r="48" spans="1:16" x14ac:dyDescent="0.2">
      <c r="A48" s="4">
        <f>Статистика!A36</f>
        <v>24</v>
      </c>
      <c r="B48" s="4">
        <f>Статистика!B36</f>
        <v>1</v>
      </c>
      <c r="C48" s="4">
        <f>Статистика!C36</f>
        <v>3250</v>
      </c>
      <c r="D48" s="4">
        <f>Статистика!D36</f>
        <v>62</v>
      </c>
      <c r="E48" s="4">
        <f>Статистика!E36</f>
        <v>39.5</v>
      </c>
      <c r="F48" s="12">
        <f>Статистика!F36</f>
        <v>38.050740908209804</v>
      </c>
      <c r="G48" s="12">
        <f t="shared" si="7"/>
        <v>-1.4492590917901964</v>
      </c>
      <c r="H48" s="12">
        <f t="array" ref="H48">$B$13*SQRT(1+MMULT(MMULT(B48:D48,$J$7:$L$9),TRANSPOSE(B48:D48)))</f>
        <v>6.0715292392798936</v>
      </c>
      <c r="I48" s="12">
        <f t="shared" si="3"/>
        <v>50.487704763569383</v>
      </c>
      <c r="J48" s="12">
        <f t="shared" si="4"/>
        <v>25.613777052850221</v>
      </c>
      <c r="K48" s="12">
        <f t="array" ref="K48">$B$13*SQRT(MMULT(MMULT(B48:D48,$J$7:$L$9),TRANSPOSE(B48:D48)))</f>
        <v>1.3341463966506084</v>
      </c>
      <c r="L48" s="152">
        <f t="shared" si="5"/>
        <v>40.783615915309298</v>
      </c>
      <c r="M48" s="152">
        <f t="shared" si="6"/>
        <v>35.317865901110309</v>
      </c>
      <c r="N48" s="31"/>
      <c r="O48" s="31"/>
      <c r="P48" s="31"/>
    </row>
    <row r="49" spans="1:16" x14ac:dyDescent="0.2">
      <c r="A49" s="4">
        <f>Статистика!A37</f>
        <v>25</v>
      </c>
      <c r="B49" s="4">
        <f>Статистика!B37</f>
        <v>1</v>
      </c>
      <c r="C49" s="4">
        <f>Статистика!C37</f>
        <v>3250</v>
      </c>
      <c r="D49" s="4">
        <f>Статистика!D37</f>
        <v>64.5</v>
      </c>
      <c r="E49" s="4">
        <f>Статистика!E37</f>
        <v>36</v>
      </c>
      <c r="F49" s="12">
        <f>Статистика!F37</f>
        <v>41.766982010265409</v>
      </c>
      <c r="G49" s="12">
        <f t="shared" si="7"/>
        <v>5.7669820102654086</v>
      </c>
      <c r="H49" s="12">
        <f t="array" ref="H49">$B$13*SQRT(1+MMULT(MMULT(B49:D49,$J$7:$L$9),TRANSPOSE(B49:D49)))</f>
        <v>6.1089237173646742</v>
      </c>
      <c r="I49" s="12">
        <f t="shared" si="3"/>
        <v>54.280544981597558</v>
      </c>
      <c r="J49" s="12">
        <f t="shared" si="4"/>
        <v>29.253419038933256</v>
      </c>
      <c r="K49" s="12">
        <f t="array" ref="K49">$B$13*SQRT(MMULT(MMULT(B49:D49,$J$7:$L$9),TRANSPOSE(B49:D49)))</f>
        <v>1.4951348731287593</v>
      </c>
      <c r="L49" s="152">
        <f t="shared" si="5"/>
        <v>44.829626962329485</v>
      </c>
      <c r="M49" s="152">
        <f t="shared" si="6"/>
        <v>38.704337058201332</v>
      </c>
      <c r="N49" s="31"/>
      <c r="O49" s="31"/>
      <c r="P49" s="31"/>
    </row>
    <row r="50" spans="1:16" x14ac:dyDescent="0.2">
      <c r="A50" s="4">
        <f>Статистика!A38</f>
        <v>26</v>
      </c>
      <c r="B50" s="4">
        <f>Статистика!B38</f>
        <v>1</v>
      </c>
      <c r="C50" s="4">
        <f>Статистика!C38</f>
        <v>3250</v>
      </c>
      <c r="D50" s="4">
        <f>Статистика!D38</f>
        <v>48</v>
      </c>
      <c r="E50" s="4">
        <f>Статистика!E38</f>
        <v>8.5</v>
      </c>
      <c r="F50" s="12">
        <f>Статистика!F38</f>
        <v>17.239790736698396</v>
      </c>
      <c r="G50" s="12">
        <f t="shared" si="7"/>
        <v>8.7397907366983958</v>
      </c>
      <c r="H50" s="12">
        <f t="array" ref="H50">$B$13*SQRT(1+MMULT(MMULT(B50:D50,$J$7:$L$9),TRANSPOSE(B50:D50)))</f>
        <v>6.3582302356823606</v>
      </c>
      <c r="I50" s="12">
        <f t="shared" si="3"/>
        <v>30.264034960648605</v>
      </c>
      <c r="J50" s="12">
        <f t="shared" si="4"/>
        <v>4.2155465127481868</v>
      </c>
      <c r="K50" s="12">
        <f t="array" ref="K50">$B$13*SQRT(MMULT(MMULT(B50:D50,$J$7:$L$9),TRANSPOSE(B50:D50)))</f>
        <v>2.3116165413429801</v>
      </c>
      <c r="L50" s="152">
        <f t="shared" si="5"/>
        <v>21.974922569077378</v>
      </c>
      <c r="M50" s="152">
        <f t="shared" si="6"/>
        <v>12.504658904319413</v>
      </c>
      <c r="N50" s="31"/>
      <c r="O50" s="31"/>
      <c r="P50" s="31"/>
    </row>
    <row r="51" spans="1:16" x14ac:dyDescent="0.2">
      <c r="A51" s="4">
        <f>Статистика!A39</f>
        <v>27</v>
      </c>
      <c r="B51" s="4">
        <f>Статистика!B39</f>
        <v>1</v>
      </c>
      <c r="C51" s="4">
        <f>Статистика!C39</f>
        <v>3500</v>
      </c>
      <c r="D51" s="4">
        <f>Статистика!D39</f>
        <v>60</v>
      </c>
      <c r="E51" s="4">
        <f>Статистика!E39</f>
        <v>30</v>
      </c>
      <c r="F51" s="12">
        <f>Статистика!F39</f>
        <v>27.174371325146865</v>
      </c>
      <c r="G51" s="12">
        <f t="shared" si="7"/>
        <v>-2.8256286748531352</v>
      </c>
      <c r="H51" s="12">
        <f t="array" ref="H51">$B$13*SQRT(1+MMULT(MMULT(B51:D51,$J$7:$L$9),TRANSPOSE(B51:D51)))</f>
        <v>6.1855453308157431</v>
      </c>
      <c r="I51" s="12">
        <f t="shared" si="3"/>
        <v>39.84488655668806</v>
      </c>
      <c r="J51" s="12">
        <f t="shared" si="4"/>
        <v>14.503856093605668</v>
      </c>
      <c r="K51" s="12">
        <f t="array" ref="K51">$B$13*SQRT(MMULT(MMULT(B51:D51,$J$7:$L$9),TRANSPOSE(B51:D51)))</f>
        <v>1.7825404185716465</v>
      </c>
      <c r="L51" s="152">
        <f t="shared" si="5"/>
        <v>30.825739849087711</v>
      </c>
      <c r="M51" s="152">
        <f t="shared" si="6"/>
        <v>23.523002801206019</v>
      </c>
      <c r="N51" s="31"/>
      <c r="O51" s="31"/>
      <c r="P51" s="31"/>
    </row>
    <row r="52" spans="1:16" x14ac:dyDescent="0.2">
      <c r="A52" s="4">
        <f>Статистика!A40</f>
        <v>28</v>
      </c>
      <c r="B52" s="4">
        <f>Статистика!B40</f>
        <v>1</v>
      </c>
      <c r="C52" s="4">
        <f>Статистика!C40</f>
        <v>3500</v>
      </c>
      <c r="D52" s="4">
        <f>Статистика!D40</f>
        <v>59</v>
      </c>
      <c r="E52" s="4">
        <f>Статистика!E40</f>
        <v>29</v>
      </c>
      <c r="F52" s="12">
        <f>Статистика!F40</f>
        <v>25.687874884324629</v>
      </c>
      <c r="G52" s="12">
        <f t="shared" si="7"/>
        <v>-3.3121251156753715</v>
      </c>
      <c r="H52" s="12">
        <f t="array" ref="H52">$B$13*SQRT(1+MMULT(MMULT(B52:D52,$J$7:$L$9),TRANSPOSE(B52:D52)))</f>
        <v>6.1924012400497315</v>
      </c>
      <c r="I52" s="12">
        <f t="shared" si="3"/>
        <v>38.372433809304226</v>
      </c>
      <c r="J52" s="12">
        <f t="shared" si="4"/>
        <v>13.003315959345031</v>
      </c>
      <c r="K52" s="12">
        <f t="array" ref="K52">$B$13*SQRT(MMULT(MMULT(B52:D52,$J$7:$L$9),TRANSPOSE(B52:D52)))</f>
        <v>1.8061872610652996</v>
      </c>
      <c r="L52" s="152">
        <f t="shared" si="5"/>
        <v>29.38768176931038</v>
      </c>
      <c r="M52" s="152">
        <f t="shared" si="6"/>
        <v>21.988067999338877</v>
      </c>
      <c r="N52" s="31"/>
      <c r="O52" s="31"/>
      <c r="P52" s="31"/>
    </row>
    <row r="53" spans="1:16" x14ac:dyDescent="0.2">
      <c r="A53" s="4">
        <f>Статистика!A41</f>
        <v>29</v>
      </c>
      <c r="B53" s="4">
        <f>Статистика!B41</f>
        <v>1</v>
      </c>
      <c r="C53" s="4">
        <f>Статистика!C41</f>
        <v>3500</v>
      </c>
      <c r="D53" s="4">
        <f>Статистика!D41</f>
        <v>58</v>
      </c>
      <c r="E53" s="4">
        <f>Статистика!E41</f>
        <v>26.5</v>
      </c>
      <c r="F53" s="12">
        <f>Статистика!F41</f>
        <v>24.201378443502378</v>
      </c>
      <c r="G53" s="12">
        <f t="shared" si="7"/>
        <v>-2.298621556497622</v>
      </c>
      <c r="H53" s="12">
        <f t="array" ref="H53">$B$13*SQRT(1+MMULT(MMULT(B53:D53,$J$7:$L$9),TRANSPOSE(B53:D53)))</f>
        <v>6.20351779617011</v>
      </c>
      <c r="I53" s="12">
        <f t="shared" si="3"/>
        <v>36.90870860143113</v>
      </c>
      <c r="J53" s="12">
        <f t="shared" si="4"/>
        <v>11.494048285573628</v>
      </c>
      <c r="K53" s="12">
        <f t="array" ref="K53">$B$13*SQRT(MMULT(MMULT(B53:D53,$J$7:$L$9),TRANSPOSE(B53:D53)))</f>
        <v>1.8439393568293927</v>
      </c>
      <c r="L53" s="152">
        <f t="shared" si="5"/>
        <v>27.978516991069036</v>
      </c>
      <c r="M53" s="152">
        <f t="shared" si="6"/>
        <v>20.42423989593572</v>
      </c>
      <c r="N53" s="31"/>
      <c r="O53" s="31"/>
      <c r="P53" s="31"/>
    </row>
    <row r="54" spans="1:16" x14ac:dyDescent="0.2">
      <c r="A54" s="4">
        <f>Статистика!A42</f>
        <v>30</v>
      </c>
      <c r="B54" s="4">
        <f>Статистика!B42</f>
        <v>1</v>
      </c>
      <c r="C54" s="4">
        <f>Статистика!C42</f>
        <v>3600</v>
      </c>
      <c r="D54" s="4">
        <f>Статистика!D42</f>
        <v>58</v>
      </c>
      <c r="E54" s="4">
        <f>Статистика!E42</f>
        <v>24.5</v>
      </c>
      <c r="F54" s="12">
        <f>Статистика!F42</f>
        <v>21.040027762934997</v>
      </c>
      <c r="G54" s="12">
        <f t="shared" si="7"/>
        <v>-3.4599722370650028</v>
      </c>
      <c r="H54" s="12">
        <f t="array" ref="H54">$B$13*SQRT(1+MMULT(MMULT(B54:D54,$J$7:$L$9),TRANSPOSE(B54:D54)))</f>
        <v>6.280519607575159</v>
      </c>
      <c r="I54" s="12">
        <f t="shared" si="3"/>
        <v>33.905088981277018</v>
      </c>
      <c r="J54" s="12">
        <f t="shared" si="4"/>
        <v>8.1749665445929747</v>
      </c>
      <c r="K54" s="12">
        <f t="array" ref="K54">$B$13*SQRT(MMULT(MMULT(B54:D54,$J$7:$L$9),TRANSPOSE(B54:D54)))</f>
        <v>2.0883979135694304</v>
      </c>
      <c r="L54" s="152">
        <f t="shared" si="5"/>
        <v>25.317916964000908</v>
      </c>
      <c r="M54" s="152">
        <f t="shared" si="6"/>
        <v>16.762138561869087</v>
      </c>
      <c r="N54" s="31"/>
      <c r="O54" s="31"/>
      <c r="P54" s="31"/>
    </row>
    <row r="55" spans="1:16" x14ac:dyDescent="0.2">
      <c r="A55" s="4">
        <f>Статистика!A43</f>
        <v>31</v>
      </c>
      <c r="B55" s="4">
        <f>Статистика!B43</f>
        <v>1</v>
      </c>
      <c r="C55" s="4">
        <f>Статистика!C43</f>
        <v>3900</v>
      </c>
      <c r="D55" s="4">
        <f>Статистика!D43</f>
        <v>61</v>
      </c>
      <c r="E55" s="4">
        <f>Статистика!E43</f>
        <v>26.5</v>
      </c>
      <c r="F55" s="12">
        <f>Статистика!F43</f>
        <v>16.015465043699606</v>
      </c>
      <c r="G55" s="12">
        <f t="shared" si="7"/>
        <v>-10.484534956300394</v>
      </c>
      <c r="H55" s="12">
        <f t="array" ref="H55">$B$13*SQRT(1+MMULT(MMULT(B55:D55,$J$7:$L$9),TRANSPOSE(B55:D55)))</f>
        <v>6.5393815032780962</v>
      </c>
      <c r="I55" s="12">
        <f t="shared" si="3"/>
        <v>29.410780817938182</v>
      </c>
      <c r="J55" s="12">
        <f t="shared" si="4"/>
        <v>2.6201492694610327</v>
      </c>
      <c r="K55" s="12">
        <f t="array" ref="K55">$B$13*SQRT(MMULT(MMULT(B55:D55,$J$7:$L$9),TRANSPOSE(B55:D55)))</f>
        <v>2.771279442726919</v>
      </c>
      <c r="L55" s="152">
        <f t="shared" si="5"/>
        <v>21.692173646091774</v>
      </c>
      <c r="M55" s="152">
        <f t="shared" si="6"/>
        <v>10.33875644130744</v>
      </c>
    </row>
  </sheetData>
  <conditionalFormatting sqref="K17:K19">
    <cfRule type="cellIs" dxfId="1" priority="2" operator="equal">
      <formula>TRUE</formula>
    </cfRule>
  </conditionalFormatting>
  <conditionalFormatting sqref="N17:N19">
    <cfRule type="cellIs" dxfId="0" priority="1" operator="equal">
      <formula>TRUE</formula>
    </cfRule>
  </conditionalFormatting>
  <hyperlinks>
    <hyperlink ref="A1:D1" r:id="rId1" display="Файл скачан с сайта excel2.ru &gt;&gt;&gt;"/>
    <hyperlink ref="A2" r:id="rId2"/>
    <hyperlink ref="V2" r:id="rId3" display="Задать вопрос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85" zoomScaleNormal="85" workbookViewId="0">
      <selection activeCell="I2" sqref="I2"/>
    </sheetView>
  </sheetViews>
  <sheetFormatPr defaultRowHeight="12.75" x14ac:dyDescent="0.2"/>
  <cols>
    <col min="1" max="1" width="4.7109375" style="4" customWidth="1"/>
    <col min="2" max="2" width="15.85546875" style="4" customWidth="1"/>
    <col min="3" max="4" width="12.42578125" style="4" customWidth="1"/>
    <col min="5" max="5" width="12.85546875" style="4" customWidth="1"/>
    <col min="6" max="6" width="3" style="4" customWidth="1"/>
    <col min="7" max="7" width="2.5703125" style="4" customWidth="1"/>
    <col min="8" max="8" width="19" style="4" customWidth="1"/>
    <col min="9" max="9" width="17.140625" style="4" bestFit="1" customWidth="1"/>
    <col min="10" max="10" width="23.28515625" style="4" bestFit="1" customWidth="1"/>
    <col min="11" max="11" width="25" style="4" bestFit="1" customWidth="1"/>
    <col min="12" max="12" width="12" style="4" bestFit="1" customWidth="1"/>
    <col min="13" max="13" width="13" style="4" customWidth="1"/>
    <col min="14" max="14" width="13.140625" style="4" bestFit="1" customWidth="1"/>
    <col min="15" max="15" width="14.7109375" style="4" bestFit="1" customWidth="1"/>
    <col min="16" max="16" width="14.85546875" style="4" bestFit="1" customWidth="1"/>
    <col min="17" max="19" width="9.140625" style="4"/>
    <col min="20" max="20" width="2.5703125" style="4" customWidth="1"/>
    <col min="21" max="21" width="17.7109375" style="4" customWidth="1"/>
    <col min="22" max="22" width="16.7109375" style="4" customWidth="1"/>
    <col min="23" max="23" width="13" style="4" customWidth="1"/>
    <col min="24" max="24" width="14" style="4" customWidth="1"/>
    <col min="25" max="25" width="12" style="4" bestFit="1" customWidth="1"/>
    <col min="26" max="26" width="13.140625" style="4" customWidth="1"/>
    <col min="27" max="27" width="15.7109375" style="4" customWidth="1"/>
    <col min="28" max="33" width="9.140625" style="4"/>
    <col min="34" max="34" width="4.5703125" style="4" customWidth="1"/>
    <col min="35" max="16384" width="9.140625" style="4"/>
  </cols>
  <sheetData>
    <row r="1" spans="1:37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191" t="s">
        <v>272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2">
      <c r="A3" s="1" t="str">
        <f>Интервалы!A3</f>
        <v>Множественная регрессия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9" t="s">
        <v>64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5.75" x14ac:dyDescent="0.25">
      <c r="H5" s="59" t="s">
        <v>65</v>
      </c>
      <c r="I5" s="57"/>
      <c r="J5" s="57"/>
      <c r="K5" s="58"/>
      <c r="L5" s="57"/>
      <c r="M5" s="57"/>
      <c r="N5" s="57"/>
      <c r="O5" s="57"/>
      <c r="P5" s="57"/>
      <c r="Q5" s="57"/>
      <c r="R5" s="57"/>
      <c r="S5" s="57"/>
      <c r="U5" s="61" t="s">
        <v>66</v>
      </c>
      <c r="V5" s="62"/>
      <c r="W5" s="62"/>
      <c r="X5" s="63"/>
      <c r="Y5" s="62"/>
      <c r="Z5" s="62"/>
      <c r="AA5" s="62"/>
      <c r="AB5" s="62"/>
      <c r="AC5" s="62"/>
      <c r="AD5" s="62"/>
      <c r="AE5" s="62"/>
      <c r="AF5" s="62"/>
    </row>
    <row r="6" spans="1:37" ht="15" x14ac:dyDescent="0.25">
      <c r="A6" s="7" t="str">
        <f>Коэффициенты!A19</f>
        <v>№Набл.</v>
      </c>
      <c r="B6" s="7" t="str">
        <f>Коэффициенты!B19</f>
        <v>X1 (Концентрация)</v>
      </c>
      <c r="C6" s="7" t="str">
        <f>Коэффициенты!C19</f>
        <v>X2 (Температура)</v>
      </c>
      <c r="D6" s="7" t="str">
        <f>Коэффициенты!D19</f>
        <v>Y (Прочность)</v>
      </c>
      <c r="E6" s="7" t="str">
        <f>Коэффициенты!F19</f>
        <v>Y прогноз1</v>
      </c>
      <c r="H6" t="s">
        <v>34</v>
      </c>
      <c r="I6"/>
      <c r="J6"/>
      <c r="K6"/>
      <c r="L6"/>
      <c r="M6"/>
      <c r="N6"/>
      <c r="O6"/>
      <c r="P6"/>
      <c r="U6" t="s">
        <v>34</v>
      </c>
      <c r="V6"/>
      <c r="W6"/>
      <c r="X6"/>
      <c r="Y6"/>
      <c r="Z6"/>
      <c r="AA6"/>
      <c r="AB6"/>
      <c r="AC6"/>
    </row>
    <row r="7" spans="1:37" ht="15.75" thickBot="1" x14ac:dyDescent="0.3">
      <c r="A7" s="4">
        <f>Коэффициенты!A20</f>
        <v>1</v>
      </c>
      <c r="B7" s="4">
        <f>Коэффициенты!B20</f>
        <v>2400</v>
      </c>
      <c r="C7" s="4">
        <f>Коэффициенты!C20</f>
        <v>54.5</v>
      </c>
      <c r="D7" s="4">
        <f>Коэффициенты!D20</f>
        <v>60</v>
      </c>
      <c r="E7" s="4">
        <f>TREND($D$7:$D$37,$B$7:$C$37,B7:C7)</f>
        <v>53.773498386865683</v>
      </c>
      <c r="H7"/>
      <c r="I7"/>
      <c r="J7"/>
      <c r="K7" s="165"/>
      <c r="L7" s="165"/>
      <c r="M7" s="165"/>
      <c r="N7" s="165"/>
      <c r="O7" s="165"/>
      <c r="P7" s="165"/>
      <c r="U7"/>
      <c r="V7"/>
      <c r="W7"/>
      <c r="X7"/>
      <c r="Y7"/>
      <c r="Z7"/>
      <c r="AA7"/>
      <c r="AB7"/>
      <c r="AC7"/>
    </row>
    <row r="8" spans="1:37" ht="15" x14ac:dyDescent="0.25">
      <c r="A8" s="4">
        <f>Коэффициенты!A21</f>
        <v>2</v>
      </c>
      <c r="B8" s="4">
        <f>Коэффициенты!B21</f>
        <v>2450</v>
      </c>
      <c r="C8" s="4">
        <f>Коэффициенты!C21</f>
        <v>56</v>
      </c>
      <c r="D8" s="4">
        <f>Коэффициенты!D21</f>
        <v>61</v>
      </c>
      <c r="E8" s="4">
        <f t="shared" ref="E8:E37" si="0">TREND($D$7:$D$37,$B$7:$C$37,B8:C8)</f>
        <v>54.422567707815347</v>
      </c>
      <c r="H8" s="49" t="s">
        <v>35</v>
      </c>
      <c r="I8" s="49"/>
      <c r="J8"/>
      <c r="K8" s="165"/>
      <c r="L8" s="165"/>
      <c r="M8" s="165"/>
      <c r="N8" s="165"/>
      <c r="O8" s="165"/>
      <c r="P8" s="165"/>
      <c r="U8" s="49" t="s">
        <v>35</v>
      </c>
      <c r="V8" s="49"/>
      <c r="W8"/>
      <c r="X8"/>
      <c r="Y8"/>
      <c r="Z8"/>
      <c r="AA8"/>
      <c r="AB8"/>
      <c r="AC8"/>
    </row>
    <row r="9" spans="1:37" ht="15" x14ac:dyDescent="0.25">
      <c r="A9" s="4">
        <f>Коэффициенты!A22</f>
        <v>3</v>
      </c>
      <c r="B9" s="4">
        <f>Коэффициенты!B22</f>
        <v>2450</v>
      </c>
      <c r="C9" s="4">
        <f>Коэффициенты!C22</f>
        <v>58.5</v>
      </c>
      <c r="D9" s="4">
        <f>Коэффициенты!D22</f>
        <v>65</v>
      </c>
      <c r="E9" s="4">
        <f t="shared" si="0"/>
        <v>58.138808809870952</v>
      </c>
      <c r="H9" s="46" t="s">
        <v>36</v>
      </c>
      <c r="I9" s="51">
        <f>SQRT(I10)</f>
        <v>0.92123761236040058</v>
      </c>
      <c r="J9" s="53" t="b">
        <f>I9=V9</f>
        <v>1</v>
      </c>
      <c r="K9" s="165"/>
      <c r="L9" s="165"/>
      <c r="M9" s="165"/>
      <c r="N9" s="165"/>
      <c r="O9" s="165"/>
      <c r="P9" s="165"/>
      <c r="U9" s="46" t="s">
        <v>36</v>
      </c>
      <c r="V9" s="46">
        <v>0.92123761236040058</v>
      </c>
      <c r="W9"/>
      <c r="X9"/>
      <c r="Y9"/>
      <c r="Z9"/>
      <c r="AA9"/>
      <c r="AB9"/>
      <c r="AC9"/>
    </row>
    <row r="10" spans="1:37" ht="15" x14ac:dyDescent="0.25">
      <c r="A10" s="4">
        <f>Коэффициенты!A23</f>
        <v>4</v>
      </c>
      <c r="B10" s="4">
        <f>Коэффициенты!B23</f>
        <v>2500</v>
      </c>
      <c r="C10" s="4">
        <f>Коэффициенты!C23</f>
        <v>43</v>
      </c>
      <c r="D10" s="4">
        <f>Коэффициенты!D23</f>
        <v>30.5</v>
      </c>
      <c r="E10" s="4">
        <f t="shared" si="0"/>
        <v>33.517438636842513</v>
      </c>
      <c r="H10" s="46" t="s">
        <v>37</v>
      </c>
      <c r="I10" s="51">
        <f>INDEX(LINEST($D$7:$D$37,$B$7:$C$37,,TRUE),3,1)</f>
        <v>0.84867873842749164</v>
      </c>
      <c r="J10" s="53" t="b">
        <f>I10=V10</f>
        <v>1</v>
      </c>
      <c r="K10"/>
      <c r="L10" s="46"/>
      <c r="M10"/>
      <c r="N10"/>
      <c r="O10"/>
      <c r="P10"/>
      <c r="U10" s="46" t="s">
        <v>37</v>
      </c>
      <c r="V10" s="46">
        <v>0.84867873842749164</v>
      </c>
      <c r="W10"/>
      <c r="X10"/>
      <c r="Y10"/>
      <c r="Z10"/>
      <c r="AA10"/>
      <c r="AB10"/>
      <c r="AC10"/>
    </row>
    <row r="11" spans="1:37" ht="15" x14ac:dyDescent="0.25">
      <c r="A11" s="4">
        <f>Коэффициенты!A24</f>
        <v>5</v>
      </c>
      <c r="B11" s="4">
        <f>Коэффициенты!B24</f>
        <v>2500</v>
      </c>
      <c r="C11" s="4">
        <f>Коэффициенты!C24</f>
        <v>58</v>
      </c>
      <c r="D11" s="4">
        <f>Коэффициенты!D24</f>
        <v>63.5</v>
      </c>
      <c r="E11" s="4">
        <f t="shared" si="0"/>
        <v>55.814885249176157</v>
      </c>
      <c r="H11" s="46" t="s">
        <v>38</v>
      </c>
      <c r="I11" s="51">
        <f>Статистика!J32</f>
        <v>0.83787007688659809</v>
      </c>
      <c r="J11" s="53" t="b">
        <f>I11=V11</f>
        <v>1</v>
      </c>
      <c r="K11"/>
      <c r="L11"/>
      <c r="M11"/>
      <c r="N11"/>
      <c r="O11"/>
      <c r="P11"/>
      <c r="U11" s="46" t="s">
        <v>38</v>
      </c>
      <c r="V11" s="46">
        <v>0.8378700768865982</v>
      </c>
      <c r="W11"/>
      <c r="X11"/>
      <c r="Y11"/>
      <c r="Z11"/>
      <c r="AA11"/>
      <c r="AB11"/>
      <c r="AC11"/>
    </row>
    <row r="12" spans="1:37" ht="15" x14ac:dyDescent="0.25">
      <c r="A12" s="4">
        <f>Коэффициенты!A25</f>
        <v>6</v>
      </c>
      <c r="B12" s="4">
        <f>Коэффициенты!B25</f>
        <v>2500</v>
      </c>
      <c r="C12" s="4">
        <f>Коэффициенты!C25</f>
        <v>59</v>
      </c>
      <c r="D12" s="4">
        <f>Коэффициенты!D25</f>
        <v>65</v>
      </c>
      <c r="E12" s="4">
        <f t="shared" si="0"/>
        <v>57.301381689998408</v>
      </c>
      <c r="H12" s="46" t="s">
        <v>39</v>
      </c>
      <c r="I12" s="51">
        <f>INDEX(LINEST(D7:D37,B7:C37,TRUE,TRUE),3,2)</f>
        <v>5.9231343641466445</v>
      </c>
      <c r="J12" s="53" t="b">
        <f t="shared" ref="J12:J13" si="1">I12=V12</f>
        <v>1</v>
      </c>
      <c r="K12"/>
      <c r="L12"/>
      <c r="M12"/>
      <c r="N12"/>
      <c r="O12"/>
      <c r="P12"/>
      <c r="U12" s="46" t="s">
        <v>39</v>
      </c>
      <c r="V12" s="46">
        <v>5.9231343641466445</v>
      </c>
      <c r="W12"/>
      <c r="X12"/>
      <c r="Y12"/>
      <c r="Z12"/>
      <c r="AA12"/>
      <c r="AB12"/>
      <c r="AC12"/>
    </row>
    <row r="13" spans="1:37" ht="15.75" thickBot="1" x14ac:dyDescent="0.3">
      <c r="A13" s="4">
        <f>Коэффициенты!A26</f>
        <v>7</v>
      </c>
      <c r="B13" s="4">
        <f>Коэффициенты!B26</f>
        <v>2700</v>
      </c>
      <c r="C13" s="4">
        <f>Коэффициенты!C26</f>
        <v>52.5</v>
      </c>
      <c r="D13" s="4">
        <f>Коэффициенты!D26</f>
        <v>44</v>
      </c>
      <c r="E13" s="4">
        <f t="shared" si="0"/>
        <v>41.316453463519068</v>
      </c>
      <c r="H13" s="47" t="s">
        <v>40</v>
      </c>
      <c r="I13" s="52">
        <f>COUNT($B$7:$B$46)</f>
        <v>31</v>
      </c>
      <c r="J13" s="53" t="b">
        <f t="shared" si="1"/>
        <v>1</v>
      </c>
      <c r="K13"/>
      <c r="L13"/>
      <c r="M13"/>
      <c r="N13"/>
      <c r="O13"/>
      <c r="P13"/>
      <c r="U13" s="47" t="s">
        <v>40</v>
      </c>
      <c r="V13" s="47">
        <v>31</v>
      </c>
      <c r="W13"/>
      <c r="X13"/>
      <c r="Y13"/>
      <c r="Z13"/>
      <c r="AA13"/>
      <c r="AB13"/>
      <c r="AC13"/>
    </row>
    <row r="14" spans="1:37" ht="15" x14ac:dyDescent="0.25">
      <c r="A14" s="4">
        <f>Коэффициенты!A27</f>
        <v>8</v>
      </c>
      <c r="B14" s="4">
        <f>Коэффициенты!B27</f>
        <v>2700</v>
      </c>
      <c r="C14" s="4">
        <f>Коэффициенты!C27</f>
        <v>65.5</v>
      </c>
      <c r="D14" s="4">
        <f>Коэффициенты!D27</f>
        <v>52</v>
      </c>
      <c r="E14" s="4">
        <f t="shared" si="0"/>
        <v>60.640907194208225</v>
      </c>
      <c r="H14"/>
      <c r="I14"/>
      <c r="J14" s="46"/>
      <c r="K14"/>
      <c r="L14"/>
      <c r="M14"/>
      <c r="N14"/>
      <c r="O14"/>
      <c r="P14"/>
      <c r="U14"/>
      <c r="V14"/>
      <c r="W14"/>
      <c r="X14"/>
      <c r="Y14"/>
      <c r="Z14"/>
      <c r="AA14"/>
      <c r="AB14"/>
      <c r="AC14"/>
    </row>
    <row r="15" spans="1:37" ht="15.75" thickBot="1" x14ac:dyDescent="0.3">
      <c r="A15" s="4">
        <f>Коэффициенты!A28</f>
        <v>9</v>
      </c>
      <c r="B15" s="4">
        <f>Коэффициенты!B28</f>
        <v>2700</v>
      </c>
      <c r="C15" s="4">
        <f>Коэффициенты!C28</f>
        <v>68</v>
      </c>
      <c r="D15" s="4">
        <f>Коэффициенты!D28</f>
        <v>54.5</v>
      </c>
      <c r="E15" s="4">
        <f t="shared" si="0"/>
        <v>64.35714829626383</v>
      </c>
      <c r="H15" t="s">
        <v>41</v>
      </c>
      <c r="I15"/>
      <c r="J15"/>
      <c r="K15"/>
      <c r="L15"/>
      <c r="M15"/>
      <c r="N15"/>
      <c r="O15"/>
      <c r="P15"/>
      <c r="U15" t="s">
        <v>41</v>
      </c>
      <c r="V15"/>
      <c r="W15"/>
      <c r="X15"/>
      <c r="Y15"/>
      <c r="Z15"/>
      <c r="AA15"/>
      <c r="AB15"/>
      <c r="AC15"/>
    </row>
    <row r="16" spans="1:37" ht="15" x14ac:dyDescent="0.25">
      <c r="A16" s="4">
        <f>Коэффициенты!A29</f>
        <v>10</v>
      </c>
      <c r="B16" s="4">
        <f>Коэффициенты!B29</f>
        <v>2750</v>
      </c>
      <c r="C16" s="4">
        <f>Коэффициенты!C29</f>
        <v>45</v>
      </c>
      <c r="D16" s="4">
        <f>Коэффициенты!D29</f>
        <v>30</v>
      </c>
      <c r="E16" s="4">
        <f t="shared" si="0"/>
        <v>28.587054817068548</v>
      </c>
      <c r="H16" s="48"/>
      <c r="I16" s="48" t="s">
        <v>46</v>
      </c>
      <c r="J16" s="48" t="s">
        <v>47</v>
      </c>
      <c r="K16" s="48" t="s">
        <v>48</v>
      </c>
      <c r="L16" s="48" t="s">
        <v>49</v>
      </c>
      <c r="M16" s="48" t="s">
        <v>50</v>
      </c>
      <c r="N16"/>
      <c r="O16"/>
      <c r="P16"/>
      <c r="U16" s="48"/>
      <c r="V16" s="48" t="s">
        <v>46</v>
      </c>
      <c r="W16" s="48" t="s">
        <v>47</v>
      </c>
      <c r="X16" s="48" t="s">
        <v>48</v>
      </c>
      <c r="Y16" s="48" t="s">
        <v>49</v>
      </c>
      <c r="Z16" s="48" t="s">
        <v>50</v>
      </c>
      <c r="AA16"/>
      <c r="AB16"/>
      <c r="AC16"/>
    </row>
    <row r="17" spans="1:29" ht="15" x14ac:dyDescent="0.25">
      <c r="A17" s="4">
        <f>Коэффициенты!A30</f>
        <v>11</v>
      </c>
      <c r="B17" s="4">
        <f>Коэффициенты!B30</f>
        <v>2775</v>
      </c>
      <c r="C17" s="4">
        <f>Коэффициенты!C30</f>
        <v>45.5</v>
      </c>
      <c r="D17" s="4">
        <f>Коэффициенты!D30</f>
        <v>26</v>
      </c>
      <c r="E17" s="4">
        <f t="shared" si="0"/>
        <v>28.539965367337828</v>
      </c>
      <c r="H17" s="46" t="s">
        <v>42</v>
      </c>
      <c r="I17" s="51">
        <f>COUNT(B7:C7)</f>
        <v>2</v>
      </c>
      <c r="J17" s="55">
        <f>_xlfn.VAR.S(E7:E46)*(I13-1)</f>
        <v>5509.4033560033131</v>
      </c>
      <c r="K17" s="55">
        <f>J17/I17</f>
        <v>2754.7016780016565</v>
      </c>
      <c r="L17" s="51">
        <f>K17/K18</f>
        <v>78.518393347465391</v>
      </c>
      <c r="M17" s="51">
        <f>_xlfn.F.DIST.RT(L17,I17,I13-I17-1)</f>
        <v>3.3006490337707963E-12</v>
      </c>
      <c r="N17"/>
      <c r="O17"/>
      <c r="P17"/>
      <c r="Q17"/>
      <c r="R17"/>
      <c r="S17"/>
      <c r="T17"/>
      <c r="U17" s="46" t="s">
        <v>42</v>
      </c>
      <c r="V17" s="46">
        <v>2</v>
      </c>
      <c r="W17" s="46">
        <v>5509.403356003294</v>
      </c>
      <c r="X17" s="46">
        <v>2754.701678001647</v>
      </c>
      <c r="Y17" s="46">
        <v>78.518393347465206</v>
      </c>
      <c r="Z17" s="46">
        <v>3.30064903377089E-12</v>
      </c>
      <c r="AA17"/>
      <c r="AB17"/>
      <c r="AC17"/>
    </row>
    <row r="18" spans="1:29" ht="15" x14ac:dyDescent="0.25">
      <c r="A18" s="4">
        <f>Коэффициенты!A31</f>
        <v>12</v>
      </c>
      <c r="B18" s="4">
        <f>Коэффициенты!B31</f>
        <v>2800</v>
      </c>
      <c r="C18" s="4">
        <f>Коэффициенты!C31</f>
        <v>48</v>
      </c>
      <c r="D18" s="4">
        <f>Коэффициенты!D31</f>
        <v>23</v>
      </c>
      <c r="E18" s="4">
        <f t="shared" si="0"/>
        <v>31.465868799251581</v>
      </c>
      <c r="H18" s="46" t="s">
        <v>43</v>
      </c>
      <c r="I18" s="51">
        <f>I13-I17-1</f>
        <v>28</v>
      </c>
      <c r="J18" s="55">
        <f>SUMXMY2(D7:D46,E7:E46)</f>
        <v>982.33857948057755</v>
      </c>
      <c r="K18" s="55">
        <f>J18/I18</f>
        <v>35.083520695734911</v>
      </c>
      <c r="L18" s="46"/>
      <c r="M18" s="46"/>
      <c r="N18"/>
      <c r="O18"/>
      <c r="P18"/>
      <c r="Q18"/>
      <c r="R18"/>
      <c r="S18"/>
      <c r="T18"/>
      <c r="U18" s="46" t="s">
        <v>43</v>
      </c>
      <c r="V18" s="46">
        <v>28</v>
      </c>
      <c r="W18" s="46">
        <v>982.33857948057653</v>
      </c>
      <c r="X18" s="46">
        <v>35.083520695734876</v>
      </c>
      <c r="Y18" s="46"/>
      <c r="Z18" s="46"/>
      <c r="AA18"/>
      <c r="AB18"/>
      <c r="AC18"/>
    </row>
    <row r="19" spans="1:29" ht="15.75" thickBot="1" x14ac:dyDescent="0.3">
      <c r="A19" s="4">
        <f>Коэффициенты!A32</f>
        <v>13</v>
      </c>
      <c r="B19" s="4">
        <f>Коэффициенты!B32</f>
        <v>2800</v>
      </c>
      <c r="C19" s="4">
        <f>Коэффициенты!C32</f>
        <v>63</v>
      </c>
      <c r="D19" s="4">
        <f>Коэффициенты!D32</f>
        <v>54</v>
      </c>
      <c r="E19" s="4">
        <f t="shared" si="0"/>
        <v>53.763315411585239</v>
      </c>
      <c r="H19" s="47" t="s">
        <v>44</v>
      </c>
      <c r="I19" s="52">
        <f>I17+I18</f>
        <v>30</v>
      </c>
      <c r="J19" s="56">
        <f>_xlfn.VAR.S(D7:D46)*(I13-1)</f>
        <v>6491.7419354838712</v>
      </c>
      <c r="K19" s="54"/>
      <c r="L19" s="47"/>
      <c r="M19" s="47"/>
      <c r="N19"/>
      <c r="O19"/>
      <c r="P19"/>
      <c r="Q19"/>
      <c r="R19"/>
      <c r="S19"/>
      <c r="T19"/>
      <c r="U19" s="47" t="s">
        <v>44</v>
      </c>
      <c r="V19" s="47">
        <v>30</v>
      </c>
      <c r="W19" s="47">
        <v>6491.7419354838703</v>
      </c>
      <c r="X19" s="47"/>
      <c r="Y19" s="47"/>
      <c r="Z19" s="47"/>
      <c r="AA19"/>
      <c r="AB19"/>
      <c r="AC19"/>
    </row>
    <row r="20" spans="1:29" ht="15.75" thickBot="1" x14ac:dyDescent="0.3">
      <c r="A20" s="4">
        <f>Коэффициенты!A33</f>
        <v>14</v>
      </c>
      <c r="B20" s="4">
        <f>Коэффициенты!B33</f>
        <v>2900</v>
      </c>
      <c r="C20" s="4">
        <f>Коэффициенты!C33</f>
        <v>58.5</v>
      </c>
      <c r="D20" s="4">
        <f>Коэффициенты!D33</f>
        <v>36</v>
      </c>
      <c r="E20" s="4">
        <f t="shared" si="0"/>
        <v>43.912730747317767</v>
      </c>
      <c r="H20"/>
      <c r="I20"/>
      <c r="J20"/>
      <c r="K20"/>
      <c r="L20"/>
      <c r="M20"/>
      <c r="N20"/>
      <c r="O20"/>
      <c r="P20"/>
      <c r="U20"/>
      <c r="V20"/>
      <c r="W20"/>
      <c r="X20"/>
      <c r="Y20"/>
      <c r="Z20"/>
      <c r="AA20"/>
      <c r="AB20"/>
      <c r="AC20"/>
    </row>
    <row r="21" spans="1:29" ht="15" x14ac:dyDescent="0.25">
      <c r="A21" s="4">
        <f>Коэффициенты!A34</f>
        <v>15</v>
      </c>
      <c r="B21" s="4">
        <f>Коэффициенты!B34</f>
        <v>2900</v>
      </c>
      <c r="C21" s="4">
        <f>Коэффициенты!C34</f>
        <v>64.5</v>
      </c>
      <c r="D21" s="4">
        <f>Коэффициенты!D34</f>
        <v>53.5</v>
      </c>
      <c r="E21" s="4">
        <f t="shared" si="0"/>
        <v>52.831709392251227</v>
      </c>
      <c r="H21" s="48"/>
      <c r="I21" s="48" t="s">
        <v>51</v>
      </c>
      <c r="J21" s="48" t="s">
        <v>39</v>
      </c>
      <c r="K21" s="48" t="s">
        <v>52</v>
      </c>
      <c r="L21" s="48" t="s">
        <v>53</v>
      </c>
      <c r="M21" s="48" t="s">
        <v>54</v>
      </c>
      <c r="N21" s="48" t="s">
        <v>55</v>
      </c>
      <c r="O21" s="48" t="s">
        <v>62</v>
      </c>
      <c r="P21" s="48" t="s">
        <v>63</v>
      </c>
      <c r="U21" s="48"/>
      <c r="V21" s="48" t="s">
        <v>51</v>
      </c>
      <c r="W21" s="48" t="s">
        <v>39</v>
      </c>
      <c r="X21" s="48" t="s">
        <v>52</v>
      </c>
      <c r="Y21" s="48" t="s">
        <v>53</v>
      </c>
      <c r="Z21" s="48" t="s">
        <v>54</v>
      </c>
      <c r="AA21" s="48" t="s">
        <v>55</v>
      </c>
      <c r="AB21" s="48" t="s">
        <v>62</v>
      </c>
      <c r="AC21" s="48" t="s">
        <v>63</v>
      </c>
    </row>
    <row r="22" spans="1:29" ht="15" x14ac:dyDescent="0.25">
      <c r="A22" s="4">
        <f>Коэффициенты!A35</f>
        <v>16</v>
      </c>
      <c r="B22" s="4">
        <f>Коэффициенты!B35</f>
        <v>3000</v>
      </c>
      <c r="C22" s="4">
        <f>Коэффициенты!C35</f>
        <v>66</v>
      </c>
      <c r="D22" s="4">
        <f>Коэффициенты!D35</f>
        <v>57</v>
      </c>
      <c r="E22" s="4">
        <f t="shared" si="0"/>
        <v>51.900103372917215</v>
      </c>
      <c r="H22" s="46" t="s">
        <v>45</v>
      </c>
      <c r="I22" s="51">
        <f>INDEX(LINEST(D7:D37,$B$7:$C$37,,TRUE),1,3)</f>
        <v>48.631858695670488</v>
      </c>
      <c r="J22" s="51">
        <f>INDEX(LINEST($D$7:$D$37,$B$7:$C$37,,TRUE),2,3)</f>
        <v>10.935706152752179</v>
      </c>
      <c r="K22" s="51">
        <f>ABS(I22/J22)</f>
        <v>4.4470707256002262</v>
      </c>
      <c r="L22" s="51">
        <f>_xlfn.T.DIST.2T(K22,$I$13-$I$17-1)</f>
        <v>1.2549291578861725E-4</v>
      </c>
      <c r="M22" s="51">
        <f>$I22-_xlfn.T.INV.2T(1-M$25,$I$13-$I$17-1)*$J22</f>
        <v>26.231080111798729</v>
      </c>
      <c r="N22" s="51">
        <f>$I22+_xlfn.T.INV.2T(1-N$25,$I$13-$I$17-1)*$J22</f>
        <v>71.032637279542243</v>
      </c>
      <c r="O22" s="51">
        <f>$I22-_xlfn.T.INV.2T(1-O$25,$I$13-$I$17-1)*$J22</f>
        <v>30.028790671181465</v>
      </c>
      <c r="P22" s="51">
        <f>$I22+_xlfn.T.INV.2T(1-P$25,$I$13-$I$17-1)*$J22</f>
        <v>67.234926720159507</v>
      </c>
      <c r="U22" s="46" t="s">
        <v>45</v>
      </c>
      <c r="V22" s="46">
        <v>48.631858695670488</v>
      </c>
      <c r="W22" s="46">
        <v>10.935706152752179</v>
      </c>
      <c r="X22" s="46">
        <v>4.4470707256002262</v>
      </c>
      <c r="Y22" s="46">
        <v>1.2549291578861725E-4</v>
      </c>
      <c r="Z22" s="46">
        <v>26.231080111798729</v>
      </c>
      <c r="AA22" s="46">
        <v>71.032637279542243</v>
      </c>
      <c r="AB22" s="46">
        <v>30.028790671181465</v>
      </c>
      <c r="AC22" s="46">
        <v>67.234926720159507</v>
      </c>
    </row>
    <row r="23" spans="1:29" ht="15" x14ac:dyDescent="0.25">
      <c r="A23" s="4">
        <f>Коэффициенты!A36</f>
        <v>17</v>
      </c>
      <c r="B23" s="4">
        <f>Коэффициенты!B36</f>
        <v>3075</v>
      </c>
      <c r="C23" s="4">
        <f>Коэффициенты!C36</f>
        <v>57</v>
      </c>
      <c r="D23" s="4">
        <f>Коэффициенты!D36</f>
        <v>33.5</v>
      </c>
      <c r="E23" s="4">
        <f t="shared" si="0"/>
        <v>36.150622395091503</v>
      </c>
      <c r="H23" s="162" t="str">
        <f>U23</f>
        <v>X1 (Концентрация)</v>
      </c>
      <c r="I23" s="163">
        <f>INDEX(LINEST(D7:D37,$B$7:$C$37,,TRUE),1,2)</f>
        <v>-3.161350680567377E-2</v>
      </c>
      <c r="J23" s="163">
        <f>INDEX(LINEST($D$7:$D$37,$B$7:$C$37,,TRUE),2,2)</f>
        <v>2.9130040835873634E-3</v>
      </c>
      <c r="K23" s="163">
        <f t="shared" ref="K23:K24" si="2">ABS(I23/J23)</f>
        <v>10.852544623535765</v>
      </c>
      <c r="L23" s="163">
        <f t="shared" ref="L23:L24" si="3">_xlfn.T.DIST.2T(K23,$I$13-$I$17-1)</f>
        <v>1.5344536343769093E-11</v>
      </c>
      <c r="M23" s="163">
        <f t="shared" ref="M23:M24" si="4">$I23-_xlfn.T.INV.2T(1-M$25,$I$13-$I$17-1)*J23</f>
        <v>-3.7580525174572839E-2</v>
      </c>
      <c r="N23" s="163">
        <f>$I23+_xlfn.T.INV.2T(1-N$25,$I$13-$I$17-1)*$J23</f>
        <v>-2.5646488436774702E-2</v>
      </c>
      <c r="O23" s="163">
        <f t="shared" ref="O23:O24" si="5">$I23-_xlfn.T.INV.2T(1-O$25,$I$13-$I$17-1)*$J23</f>
        <v>-3.6568908163907218E-2</v>
      </c>
      <c r="P23" s="163">
        <f>$I23+_xlfn.T.INV.2T(1-P$25,$I$13-$I$17-1)*$J23</f>
        <v>-2.6658105447440322E-2</v>
      </c>
      <c r="U23" s="46" t="s">
        <v>89</v>
      </c>
      <c r="V23" s="46">
        <v>-3.161350680567377E-2</v>
      </c>
      <c r="W23" s="46">
        <v>2.9130040835873634E-3</v>
      </c>
      <c r="X23" s="46">
        <v>-10.852544623535765</v>
      </c>
      <c r="Y23" s="46">
        <v>1.5344536343769093E-11</v>
      </c>
      <c r="Z23" s="46">
        <v>-3.7580525174572839E-2</v>
      </c>
      <c r="AA23" s="46">
        <v>-2.5646488436774702E-2</v>
      </c>
      <c r="AB23" s="46">
        <v>-3.6568908163907218E-2</v>
      </c>
      <c r="AC23" s="46">
        <v>-2.6658105447440322E-2</v>
      </c>
    </row>
    <row r="24" spans="1:29" ht="15.75" thickBot="1" x14ac:dyDescent="0.3">
      <c r="A24" s="4">
        <f>Коэффициенты!A37</f>
        <v>18</v>
      </c>
      <c r="B24" s="4">
        <f>Коэффициенты!B37</f>
        <v>3100</v>
      </c>
      <c r="C24" s="4">
        <f>Коэффициенты!C37</f>
        <v>57.5</v>
      </c>
      <c r="D24" s="4">
        <f>Коэффициенты!D37</f>
        <v>34</v>
      </c>
      <c r="E24" s="4">
        <f t="shared" si="0"/>
        <v>36.103532945360769</v>
      </c>
      <c r="H24" s="162" t="str">
        <f>U24</f>
        <v>X2 (Температура)</v>
      </c>
      <c r="I24" s="164">
        <f>INDEX(LINEST(D7:D37,$B$7:$C$37,,TRUE),1,1)</f>
        <v>1.486496440822243</v>
      </c>
      <c r="J24" s="164">
        <f>INDEX(LINEST($D$7:$D$37,$B$7:$C$37,,TRUE),2,1)</f>
        <v>0.16269273406768212</v>
      </c>
      <c r="K24" s="164">
        <f t="shared" si="2"/>
        <v>9.1368336105522872</v>
      </c>
      <c r="L24" s="164">
        <f t="shared" si="3"/>
        <v>6.790715306929685E-10</v>
      </c>
      <c r="M24" s="164">
        <f t="shared" si="4"/>
        <v>1.1532354824398086</v>
      </c>
      <c r="N24" s="164">
        <f>$I24+_xlfn.T.INV.2T(1-N$25,$I$13-$I$17-1)*$J24</f>
        <v>1.8197573992046774</v>
      </c>
      <c r="O24" s="164">
        <f t="shared" si="5"/>
        <v>1.209734798119408</v>
      </c>
      <c r="P24" s="164">
        <f>$I24+_xlfn.T.INV.2T(1-P$25,$I$13-$I$17-1)*$J24</f>
        <v>1.763258083525078</v>
      </c>
      <c r="U24" s="47" t="s">
        <v>68</v>
      </c>
      <c r="V24" s="47">
        <v>1.486496440822243</v>
      </c>
      <c r="W24" s="47">
        <v>0.16269273406768212</v>
      </c>
      <c r="X24" s="47">
        <v>9.1368336105522872</v>
      </c>
      <c r="Y24" s="47">
        <v>6.790715306929685E-10</v>
      </c>
      <c r="Z24" s="47">
        <v>1.1532354824398086</v>
      </c>
      <c r="AA24" s="47">
        <v>1.8197573992046774</v>
      </c>
      <c r="AB24" s="47">
        <v>1.209734798119408</v>
      </c>
      <c r="AC24" s="47">
        <v>1.763258083525078</v>
      </c>
    </row>
    <row r="25" spans="1:29" ht="15" x14ac:dyDescent="0.25">
      <c r="A25" s="4">
        <f>Коэффициенты!A38</f>
        <v>19</v>
      </c>
      <c r="B25" s="4">
        <f>Коэффициенты!B38</f>
        <v>3150</v>
      </c>
      <c r="C25" s="4">
        <f>Коэффициенты!C38</f>
        <v>64</v>
      </c>
      <c r="D25" s="4">
        <f>Коэффициенты!D38</f>
        <v>44</v>
      </c>
      <c r="E25" s="4">
        <f t="shared" si="0"/>
        <v>44.185084470421657</v>
      </c>
      <c r="H25"/>
      <c r="I25"/>
      <c r="J25"/>
      <c r="K25"/>
      <c r="L25"/>
      <c r="M25" s="60">
        <v>0.95</v>
      </c>
      <c r="N25" s="60">
        <v>0.95</v>
      </c>
      <c r="O25" s="60">
        <v>0.9</v>
      </c>
      <c r="P25" s="60">
        <v>0.9</v>
      </c>
      <c r="U25"/>
      <c r="V25"/>
      <c r="W25"/>
      <c r="X25"/>
      <c r="Y25"/>
      <c r="Z25"/>
      <c r="AA25"/>
      <c r="AB25"/>
      <c r="AC25"/>
    </row>
    <row r="26" spans="1:29" ht="15" x14ac:dyDescent="0.25">
      <c r="A26" s="4">
        <f>Коэффициенты!A39</f>
        <v>20</v>
      </c>
      <c r="B26" s="4">
        <f>Коэффициенты!B39</f>
        <v>3200</v>
      </c>
      <c r="C26" s="4">
        <f>Коэффициенты!C39</f>
        <v>57</v>
      </c>
      <c r="D26" s="4">
        <f>Коэффициенты!D39</f>
        <v>33</v>
      </c>
      <c r="E26" s="4">
        <f t="shared" si="0"/>
        <v>32.19893404438227</v>
      </c>
      <c r="H26"/>
      <c r="I26"/>
      <c r="J26"/>
      <c r="K26"/>
      <c r="L26"/>
      <c r="M26"/>
      <c r="N26"/>
      <c r="O26"/>
      <c r="P26"/>
      <c r="U26"/>
      <c r="V26"/>
      <c r="W26"/>
      <c r="X26"/>
      <c r="Y26"/>
      <c r="Z26"/>
      <c r="AA26"/>
      <c r="AB26"/>
      <c r="AC26"/>
    </row>
    <row r="27" spans="1:29" ht="15" x14ac:dyDescent="0.25">
      <c r="A27" s="4">
        <f>Коэффициенты!A40</f>
        <v>21</v>
      </c>
      <c r="B27" s="4">
        <f>Коэффициенты!B40</f>
        <v>3200</v>
      </c>
      <c r="C27" s="4">
        <f>Коэффициенты!C40</f>
        <v>64</v>
      </c>
      <c r="D27" s="4">
        <f>Коэффициенты!D40</f>
        <v>39</v>
      </c>
      <c r="E27" s="4">
        <f t="shared" si="0"/>
        <v>42.604409130137967</v>
      </c>
      <c r="U27"/>
      <c r="V27"/>
      <c r="W27"/>
      <c r="X27"/>
      <c r="Y27"/>
      <c r="Z27"/>
      <c r="AA27"/>
      <c r="AB27"/>
      <c r="AC27"/>
    </row>
    <row r="28" spans="1:29" ht="15" x14ac:dyDescent="0.25">
      <c r="A28" s="4">
        <f>Коэффициенты!A41</f>
        <v>22</v>
      </c>
      <c r="B28" s="4">
        <f>Коэффициенты!B41</f>
        <v>3200</v>
      </c>
      <c r="C28" s="4">
        <f>Коэффициенты!C41</f>
        <v>69</v>
      </c>
      <c r="D28" s="4">
        <f>Коэффициенты!D41</f>
        <v>53</v>
      </c>
      <c r="E28" s="4">
        <f t="shared" si="0"/>
        <v>50.036891334249177</v>
      </c>
      <c r="H28" t="s">
        <v>56</v>
      </c>
      <c r="I28"/>
      <c r="J28"/>
      <c r="K28"/>
      <c r="L28"/>
      <c r="M28" t="s">
        <v>60</v>
      </c>
      <c r="N28"/>
      <c r="O28"/>
      <c r="P28"/>
      <c r="U28" t="s">
        <v>56</v>
      </c>
      <c r="V28"/>
      <c r="W28"/>
      <c r="X28"/>
      <c r="Y28"/>
      <c r="Z28" t="s">
        <v>60</v>
      </c>
      <c r="AA28"/>
      <c r="AB28"/>
      <c r="AC28"/>
    </row>
    <row r="29" spans="1:29" ht="15.75" thickBot="1" x14ac:dyDescent="0.3">
      <c r="A29" s="4">
        <f>Коэффициенты!A42</f>
        <v>23</v>
      </c>
      <c r="B29" s="4">
        <f>Коэффициенты!B42</f>
        <v>3225</v>
      </c>
      <c r="C29" s="4">
        <f>Коэффициенты!C42</f>
        <v>68</v>
      </c>
      <c r="D29" s="4">
        <f>Коэффициенты!D42</f>
        <v>38.5</v>
      </c>
      <c r="E29" s="4">
        <f t="shared" si="0"/>
        <v>47.760057223285102</v>
      </c>
      <c r="H29"/>
      <c r="I29"/>
      <c r="J29"/>
      <c r="K29"/>
      <c r="L29"/>
      <c r="M29"/>
      <c r="N29"/>
      <c r="O29"/>
      <c r="P29"/>
      <c r="U29"/>
      <c r="V29"/>
      <c r="W29"/>
      <c r="X29"/>
      <c r="Y29"/>
      <c r="Z29"/>
      <c r="AA29"/>
      <c r="AB29"/>
      <c r="AC29"/>
    </row>
    <row r="30" spans="1:29" ht="15" x14ac:dyDescent="0.25">
      <c r="A30" s="4">
        <f>Коэффициенты!A43</f>
        <v>24</v>
      </c>
      <c r="B30" s="4">
        <f>Коэффициенты!B43</f>
        <v>3250</v>
      </c>
      <c r="C30" s="4">
        <f>Коэффициенты!C43</f>
        <v>62</v>
      </c>
      <c r="D30" s="4">
        <f>Коэффициенты!D43</f>
        <v>39.5</v>
      </c>
      <c r="E30" s="4">
        <f t="shared" si="0"/>
        <v>38.050740908209804</v>
      </c>
      <c r="H30" s="48" t="s">
        <v>57</v>
      </c>
      <c r="I30" s="48" t="s">
        <v>58</v>
      </c>
      <c r="J30" s="48" t="s">
        <v>10</v>
      </c>
      <c r="K30" s="48" t="s">
        <v>59</v>
      </c>
      <c r="L30"/>
      <c r="M30" s="48" t="s">
        <v>61</v>
      </c>
      <c r="N30" s="48" t="s">
        <v>3</v>
      </c>
      <c r="O30"/>
      <c r="P30"/>
      <c r="U30" s="48" t="s">
        <v>57</v>
      </c>
      <c r="V30" s="48" t="s">
        <v>263</v>
      </c>
      <c r="W30" s="48" t="s">
        <v>10</v>
      </c>
      <c r="X30" s="48" t="s">
        <v>59</v>
      </c>
      <c r="Y30"/>
      <c r="Z30" s="48" t="s">
        <v>61</v>
      </c>
      <c r="AA30" s="48" t="s">
        <v>69</v>
      </c>
      <c r="AB30"/>
      <c r="AC30"/>
    </row>
    <row r="31" spans="1:29" ht="15" x14ac:dyDescent="0.25">
      <c r="A31" s="4">
        <f>Коэффициенты!A44</f>
        <v>25</v>
      </c>
      <c r="B31" s="4">
        <f>Коэффициенты!B44</f>
        <v>3250</v>
      </c>
      <c r="C31" s="4">
        <f>Коэффициенты!C44</f>
        <v>64.5</v>
      </c>
      <c r="D31" s="4">
        <f>Коэффициенты!D44</f>
        <v>36</v>
      </c>
      <c r="E31" s="4">
        <f t="shared" si="0"/>
        <v>41.766982010265409</v>
      </c>
      <c r="H31" s="46">
        <v>1</v>
      </c>
      <c r="I31" s="51">
        <f>TREND($D$7:$D$37,$B$7:$C$37,B7:C7)</f>
        <v>53.773498386865683</v>
      </c>
      <c r="J31" s="51">
        <f>D7-I31</f>
        <v>6.2265016131343174</v>
      </c>
      <c r="K31" s="51">
        <f>J31/_xlfn.STDEV.S($J$31:$J$61)</f>
        <v>1.088113333479807</v>
      </c>
      <c r="L31" s="50"/>
      <c r="M31" s="51">
        <f>100/$I$13/2</f>
        <v>1.6129032258064515</v>
      </c>
      <c r="N31" s="51">
        <f>SMALL($D$7:$D$37,H31)</f>
        <v>8.5</v>
      </c>
      <c r="O31"/>
      <c r="P31"/>
      <c r="U31" s="46">
        <v>1</v>
      </c>
      <c r="V31" s="46">
        <v>53.773498386865683</v>
      </c>
      <c r="W31" s="46">
        <v>6.2265016131343174</v>
      </c>
      <c r="X31" s="46">
        <v>1.088113333479807</v>
      </c>
      <c r="Y31"/>
      <c r="Z31" s="46">
        <v>1.6129032258064515</v>
      </c>
      <c r="AA31" s="46">
        <v>8.5</v>
      </c>
      <c r="AB31"/>
      <c r="AC31"/>
    </row>
    <row r="32" spans="1:29" ht="15" x14ac:dyDescent="0.25">
      <c r="A32" s="4">
        <f>Коэффициенты!A45</f>
        <v>26</v>
      </c>
      <c r="B32" s="4">
        <f>Коэффициенты!B45</f>
        <v>3250</v>
      </c>
      <c r="C32" s="4">
        <f>Коэффициенты!C45</f>
        <v>48</v>
      </c>
      <c r="D32" s="4">
        <f>Коэффициенты!D45</f>
        <v>8.5</v>
      </c>
      <c r="E32" s="4">
        <f t="shared" si="0"/>
        <v>17.239790736698396</v>
      </c>
      <c r="H32" s="46">
        <v>2</v>
      </c>
      <c r="I32" s="51">
        <f t="shared" ref="I32:I61" si="6">TREND($D$7:$D$37,$B$7:$C$37,B8:C8)</f>
        <v>54.422567707815347</v>
      </c>
      <c r="J32" s="51">
        <f t="shared" ref="J32:J61" si="7">D8-I32</f>
        <v>6.5774322921846533</v>
      </c>
      <c r="K32" s="51">
        <f t="shared" ref="K32:K61" si="8">J32/_xlfn.STDEV.S($J$31:$J$61)</f>
        <v>1.1494402831422474</v>
      </c>
      <c r="L32" s="50"/>
      <c r="M32" s="51">
        <f>100/$I$13+M31</f>
        <v>4.8387096774193541</v>
      </c>
      <c r="N32" s="51">
        <f t="shared" ref="N32:N61" si="9">SMALL($D$7:$D$37,H32)</f>
        <v>23</v>
      </c>
      <c r="O32"/>
      <c r="P32"/>
      <c r="U32" s="46">
        <v>2</v>
      </c>
      <c r="V32" s="46">
        <v>54.422567707815347</v>
      </c>
      <c r="W32" s="46">
        <v>6.5774322921846533</v>
      </c>
      <c r="X32" s="46">
        <v>1.1494402831422474</v>
      </c>
      <c r="Y32"/>
      <c r="Z32" s="46">
        <v>4.8387096774193541</v>
      </c>
      <c r="AA32" s="46">
        <v>23</v>
      </c>
      <c r="AB32"/>
      <c r="AC32"/>
    </row>
    <row r="33" spans="1:29" ht="15" x14ac:dyDescent="0.25">
      <c r="A33" s="4">
        <f>Коэффициенты!A46</f>
        <v>27</v>
      </c>
      <c r="B33" s="4">
        <f>Коэффициенты!B46</f>
        <v>3500</v>
      </c>
      <c r="C33" s="4">
        <f>Коэффициенты!C46</f>
        <v>60</v>
      </c>
      <c r="D33" s="4">
        <f>Коэффициенты!D46</f>
        <v>30</v>
      </c>
      <c r="E33" s="4">
        <f t="shared" si="0"/>
        <v>27.174371325146865</v>
      </c>
      <c r="H33" s="46">
        <v>3</v>
      </c>
      <c r="I33" s="51">
        <f t="shared" si="6"/>
        <v>58.138808809870952</v>
      </c>
      <c r="J33" s="51">
        <f t="shared" si="7"/>
        <v>6.8611911901290483</v>
      </c>
      <c r="K33" s="51">
        <f t="shared" si="8"/>
        <v>1.1990286169339746</v>
      </c>
      <c r="L33" s="50"/>
      <c r="M33" s="51">
        <f>100/$I$13+M32</f>
        <v>8.0645161290322562</v>
      </c>
      <c r="N33" s="51">
        <f t="shared" si="9"/>
        <v>24.5</v>
      </c>
      <c r="O33"/>
      <c r="P33"/>
      <c r="U33" s="46">
        <v>3</v>
      </c>
      <c r="V33" s="46">
        <v>58.138808809870952</v>
      </c>
      <c r="W33" s="46">
        <v>6.8611911901290483</v>
      </c>
      <c r="X33" s="46">
        <v>1.1990286169339746</v>
      </c>
      <c r="Y33"/>
      <c r="Z33" s="46">
        <v>8.064516129032258</v>
      </c>
      <c r="AA33" s="46">
        <v>24.5</v>
      </c>
      <c r="AB33"/>
      <c r="AC33"/>
    </row>
    <row r="34" spans="1:29" ht="15" x14ac:dyDescent="0.25">
      <c r="A34" s="4">
        <f>Коэффициенты!A47</f>
        <v>28</v>
      </c>
      <c r="B34" s="4">
        <f>Коэффициенты!B47</f>
        <v>3500</v>
      </c>
      <c r="C34" s="4">
        <f>Коэффициенты!C47</f>
        <v>59</v>
      </c>
      <c r="D34" s="4">
        <f>Коэффициенты!D47</f>
        <v>29</v>
      </c>
      <c r="E34" s="4">
        <f t="shared" si="0"/>
        <v>25.687874884324629</v>
      </c>
      <c r="H34" s="46">
        <v>4</v>
      </c>
      <c r="I34" s="51">
        <f t="shared" si="6"/>
        <v>33.517438636842513</v>
      </c>
      <c r="J34" s="51">
        <f t="shared" si="7"/>
        <v>-3.0174386368425132</v>
      </c>
      <c r="K34" s="51">
        <f t="shared" si="8"/>
        <v>-0.52731299495363104</v>
      </c>
      <c r="L34" s="50"/>
      <c r="M34" s="51">
        <f t="shared" ref="M34:M61" si="10">100/$I$13+M33</f>
        <v>11.29032258064516</v>
      </c>
      <c r="N34" s="51">
        <f t="shared" si="9"/>
        <v>26</v>
      </c>
      <c r="O34"/>
      <c r="P34"/>
      <c r="U34" s="46">
        <v>4</v>
      </c>
      <c r="V34" s="46">
        <v>33.517438636842513</v>
      </c>
      <c r="W34" s="46">
        <v>-3.0174386368425132</v>
      </c>
      <c r="X34" s="46">
        <v>-0.52731299495363104</v>
      </c>
      <c r="Y34"/>
      <c r="Z34" s="46">
        <v>11.29032258064516</v>
      </c>
      <c r="AA34" s="46">
        <v>26</v>
      </c>
      <c r="AB34"/>
      <c r="AC34"/>
    </row>
    <row r="35" spans="1:29" ht="15" x14ac:dyDescent="0.25">
      <c r="A35" s="4">
        <f>Коэффициенты!A48</f>
        <v>29</v>
      </c>
      <c r="B35" s="4">
        <f>Коэффициенты!B48</f>
        <v>3500</v>
      </c>
      <c r="C35" s="4">
        <f>Коэффициенты!C48</f>
        <v>58</v>
      </c>
      <c r="D35" s="4">
        <f>Коэффициенты!D48</f>
        <v>26.5</v>
      </c>
      <c r="E35" s="4">
        <f t="shared" si="0"/>
        <v>24.201378443502378</v>
      </c>
      <c r="H35" s="46">
        <v>5</v>
      </c>
      <c r="I35" s="51">
        <f t="shared" si="6"/>
        <v>55.814885249176157</v>
      </c>
      <c r="J35" s="51">
        <f t="shared" si="7"/>
        <v>7.6851147508238427</v>
      </c>
      <c r="K35" s="51">
        <f t="shared" si="8"/>
        <v>1.3430135169409096</v>
      </c>
      <c r="L35" s="50"/>
      <c r="M35" s="51">
        <f t="shared" si="10"/>
        <v>14.516129032258064</v>
      </c>
      <c r="N35" s="51">
        <f t="shared" si="9"/>
        <v>26.5</v>
      </c>
      <c r="O35"/>
      <c r="P35"/>
      <c r="U35" s="46">
        <v>5</v>
      </c>
      <c r="V35" s="46">
        <v>55.814885249176157</v>
      </c>
      <c r="W35" s="46">
        <v>7.6851147508238427</v>
      </c>
      <c r="X35" s="46">
        <v>1.3430135169409096</v>
      </c>
      <c r="Y35"/>
      <c r="Z35" s="46">
        <v>14.516129032258064</v>
      </c>
      <c r="AA35" s="46">
        <v>26.5</v>
      </c>
      <c r="AB35"/>
      <c r="AC35"/>
    </row>
    <row r="36" spans="1:29" ht="15" x14ac:dyDescent="0.25">
      <c r="A36" s="4">
        <f>Коэффициенты!A49</f>
        <v>30</v>
      </c>
      <c r="B36" s="4">
        <f>Коэффициенты!B49</f>
        <v>3600</v>
      </c>
      <c r="C36" s="4">
        <f>Коэффициенты!C49</f>
        <v>58</v>
      </c>
      <c r="D36" s="4">
        <f>Коэффициенты!D49</f>
        <v>24.5</v>
      </c>
      <c r="E36" s="4">
        <f t="shared" si="0"/>
        <v>21.040027762934997</v>
      </c>
      <c r="H36" s="46">
        <v>6</v>
      </c>
      <c r="I36" s="51">
        <f t="shared" si="6"/>
        <v>57.301381689998408</v>
      </c>
      <c r="J36" s="51">
        <f t="shared" si="7"/>
        <v>7.6986183100015921</v>
      </c>
      <c r="K36" s="51">
        <f t="shared" si="8"/>
        <v>1.3453733336893303</v>
      </c>
      <c r="L36" s="50"/>
      <c r="M36" s="51">
        <f t="shared" si="10"/>
        <v>17.741935483870968</v>
      </c>
      <c r="N36" s="51">
        <f t="shared" si="9"/>
        <v>26.5</v>
      </c>
      <c r="O36"/>
      <c r="P36"/>
      <c r="U36" s="46">
        <v>6</v>
      </c>
      <c r="V36" s="46">
        <v>57.301381689998408</v>
      </c>
      <c r="W36" s="46">
        <v>7.6986183100015921</v>
      </c>
      <c r="X36" s="46">
        <v>1.3453733336893303</v>
      </c>
      <c r="Y36"/>
      <c r="Z36" s="46">
        <v>17.741935483870968</v>
      </c>
      <c r="AA36" s="46">
        <v>26.5</v>
      </c>
      <c r="AB36"/>
      <c r="AC36"/>
    </row>
    <row r="37" spans="1:29" ht="15" x14ac:dyDescent="0.25">
      <c r="A37" s="4">
        <f>Коэффициенты!A50</f>
        <v>31</v>
      </c>
      <c r="B37" s="4">
        <f>Коэффициенты!B50</f>
        <v>3900</v>
      </c>
      <c r="C37" s="4">
        <f>Коэффициенты!C50</f>
        <v>61</v>
      </c>
      <c r="D37" s="4">
        <f>Коэффициенты!D50</f>
        <v>26.5</v>
      </c>
      <c r="E37" s="4">
        <f t="shared" si="0"/>
        <v>16.015465043699606</v>
      </c>
      <c r="H37" s="46">
        <v>7</v>
      </c>
      <c r="I37" s="51">
        <f t="shared" si="6"/>
        <v>41.316453463519068</v>
      </c>
      <c r="J37" s="51">
        <f t="shared" si="7"/>
        <v>2.6835465364809323</v>
      </c>
      <c r="K37" s="51">
        <f t="shared" si="8"/>
        <v>0.46896362496701849</v>
      </c>
      <c r="L37" s="50"/>
      <c r="M37" s="51">
        <f t="shared" si="10"/>
        <v>20.967741935483872</v>
      </c>
      <c r="N37" s="51">
        <f t="shared" si="9"/>
        <v>29</v>
      </c>
      <c r="O37"/>
      <c r="P37"/>
      <c r="U37" s="46">
        <v>7</v>
      </c>
      <c r="V37" s="46">
        <v>41.316453463519068</v>
      </c>
      <c r="W37" s="46">
        <v>2.6835465364809323</v>
      </c>
      <c r="X37" s="46">
        <v>0.46896362496701849</v>
      </c>
      <c r="Y37"/>
      <c r="Z37" s="46">
        <v>20.967741935483868</v>
      </c>
      <c r="AA37" s="46">
        <v>29</v>
      </c>
      <c r="AB37"/>
      <c r="AC37"/>
    </row>
    <row r="38" spans="1:29" ht="15" x14ac:dyDescent="0.25">
      <c r="E38" s="12"/>
      <c r="H38" s="46">
        <v>8</v>
      </c>
      <c r="I38" s="51">
        <f t="shared" si="6"/>
        <v>60.640907194208225</v>
      </c>
      <c r="J38" s="51">
        <f t="shared" si="7"/>
        <v>-8.640907194208225</v>
      </c>
      <c r="K38" s="51">
        <f t="shared" si="8"/>
        <v>-1.5100431856543923</v>
      </c>
      <c r="L38" s="50"/>
      <c r="M38" s="51">
        <f t="shared" si="10"/>
        <v>24.193548387096776</v>
      </c>
      <c r="N38" s="51">
        <f t="shared" si="9"/>
        <v>30</v>
      </c>
      <c r="O38"/>
      <c r="P38"/>
      <c r="U38" s="46">
        <v>8</v>
      </c>
      <c r="V38" s="46">
        <v>60.640907194208225</v>
      </c>
      <c r="W38" s="46">
        <v>-8.640907194208225</v>
      </c>
      <c r="X38" s="46">
        <v>-1.5100431856543923</v>
      </c>
      <c r="Y38"/>
      <c r="Z38" s="46">
        <v>24.193548387096772</v>
      </c>
      <c r="AA38" s="46">
        <v>30</v>
      </c>
      <c r="AB38"/>
      <c r="AC38"/>
    </row>
    <row r="39" spans="1:29" ht="15" x14ac:dyDescent="0.25">
      <c r="E39" s="12"/>
      <c r="H39" s="46">
        <v>9</v>
      </c>
      <c r="I39" s="51">
        <f t="shared" si="6"/>
        <v>64.35714829626383</v>
      </c>
      <c r="J39" s="51">
        <f t="shared" si="7"/>
        <v>-9.8571482962638299</v>
      </c>
      <c r="K39" s="51">
        <f t="shared" si="8"/>
        <v>-1.7225876033866951</v>
      </c>
      <c r="L39" s="50"/>
      <c r="M39" s="51">
        <f t="shared" si="10"/>
        <v>27.41935483870968</v>
      </c>
      <c r="N39" s="51">
        <f t="shared" si="9"/>
        <v>30</v>
      </c>
      <c r="O39"/>
      <c r="P39"/>
      <c r="U39" s="46">
        <v>9</v>
      </c>
      <c r="V39" s="46">
        <v>64.35714829626383</v>
      </c>
      <c r="W39" s="46">
        <v>-9.8571482962638299</v>
      </c>
      <c r="X39" s="46">
        <v>-1.7225876033866951</v>
      </c>
      <c r="Y39"/>
      <c r="Z39" s="46">
        <v>27.419354838709676</v>
      </c>
      <c r="AA39" s="46">
        <v>30</v>
      </c>
      <c r="AB39"/>
      <c r="AC39"/>
    </row>
    <row r="40" spans="1:29" ht="15" x14ac:dyDescent="0.25">
      <c r="E40" s="12"/>
      <c r="H40" s="46">
        <v>10</v>
      </c>
      <c r="I40" s="51">
        <f t="shared" si="6"/>
        <v>28.587054817068548</v>
      </c>
      <c r="J40" s="51">
        <f t="shared" si="7"/>
        <v>1.4129451829314519</v>
      </c>
      <c r="K40" s="51">
        <f t="shared" si="8"/>
        <v>0.24691947236963033</v>
      </c>
      <c r="L40" s="50"/>
      <c r="M40" s="51">
        <f t="shared" si="10"/>
        <v>30.645161290322584</v>
      </c>
      <c r="N40" s="51">
        <f t="shared" si="9"/>
        <v>30.5</v>
      </c>
      <c r="O40"/>
      <c r="P40"/>
      <c r="U40" s="46">
        <v>10</v>
      </c>
      <c r="V40" s="46">
        <v>28.587054817068548</v>
      </c>
      <c r="W40" s="46">
        <v>1.4129451829314519</v>
      </c>
      <c r="X40" s="46">
        <v>0.24691947236963033</v>
      </c>
      <c r="Y40"/>
      <c r="Z40" s="46">
        <v>30.64516129032258</v>
      </c>
      <c r="AA40" s="46">
        <v>30.5</v>
      </c>
      <c r="AB40"/>
      <c r="AC40"/>
    </row>
    <row r="41" spans="1:29" ht="15" x14ac:dyDescent="0.25">
      <c r="E41" s="12"/>
      <c r="H41" s="46">
        <v>11</v>
      </c>
      <c r="I41" s="51">
        <f t="shared" si="6"/>
        <v>28.539965367337828</v>
      </c>
      <c r="J41" s="51">
        <f t="shared" si="7"/>
        <v>-2.5399653673378282</v>
      </c>
      <c r="K41" s="51">
        <f t="shared" si="8"/>
        <v>-0.44387207367733911</v>
      </c>
      <c r="L41" s="50"/>
      <c r="M41" s="51">
        <f t="shared" si="10"/>
        <v>33.870967741935488</v>
      </c>
      <c r="N41" s="51">
        <f t="shared" si="9"/>
        <v>33</v>
      </c>
      <c r="O41"/>
      <c r="P41"/>
      <c r="U41" s="46">
        <v>11</v>
      </c>
      <c r="V41" s="46">
        <v>28.539965367337828</v>
      </c>
      <c r="W41" s="46">
        <v>-2.5399653673378282</v>
      </c>
      <c r="X41" s="46">
        <v>-0.44387207367733911</v>
      </c>
      <c r="Y41"/>
      <c r="Z41" s="46">
        <v>33.87096774193548</v>
      </c>
      <c r="AA41" s="46">
        <v>33</v>
      </c>
      <c r="AB41"/>
      <c r="AC41"/>
    </row>
    <row r="42" spans="1:29" ht="15" x14ac:dyDescent="0.25">
      <c r="E42" s="12"/>
      <c r="H42" s="46">
        <v>12</v>
      </c>
      <c r="I42" s="51">
        <f t="shared" si="6"/>
        <v>31.465868799251581</v>
      </c>
      <c r="J42" s="51">
        <f t="shared" si="7"/>
        <v>-8.4658687992515809</v>
      </c>
      <c r="K42" s="51">
        <f t="shared" si="8"/>
        <v>-1.4794543215928355</v>
      </c>
      <c r="L42" s="50"/>
      <c r="M42" s="51">
        <f t="shared" si="10"/>
        <v>37.096774193548391</v>
      </c>
      <c r="N42" s="51">
        <f t="shared" si="9"/>
        <v>33.5</v>
      </c>
      <c r="O42"/>
      <c r="P42"/>
      <c r="U42" s="46">
        <v>12</v>
      </c>
      <c r="V42" s="46">
        <v>31.465868799251581</v>
      </c>
      <c r="W42" s="46">
        <v>-8.4658687992515809</v>
      </c>
      <c r="X42" s="46">
        <v>-1.4794543215928355</v>
      </c>
      <c r="Y42"/>
      <c r="Z42" s="46">
        <v>37.096774193548384</v>
      </c>
      <c r="AA42" s="46">
        <v>33.5</v>
      </c>
      <c r="AB42"/>
      <c r="AC42"/>
    </row>
    <row r="43" spans="1:29" ht="15" x14ac:dyDescent="0.25">
      <c r="C43" s="12"/>
      <c r="D43" s="12"/>
      <c r="E43" s="12"/>
      <c r="H43" s="46">
        <v>13</v>
      </c>
      <c r="I43" s="51">
        <f t="shared" si="6"/>
        <v>53.763315411585239</v>
      </c>
      <c r="J43" s="51">
        <f t="shared" si="7"/>
        <v>0.23668458841476081</v>
      </c>
      <c r="K43" s="51">
        <f t="shared" si="8"/>
        <v>4.1361854936329212E-2</v>
      </c>
      <c r="L43" s="50"/>
      <c r="M43" s="51">
        <f t="shared" si="10"/>
        <v>40.322580645161295</v>
      </c>
      <c r="N43" s="51">
        <f t="shared" si="9"/>
        <v>34</v>
      </c>
      <c r="O43"/>
      <c r="P43"/>
      <c r="U43" s="46">
        <v>13</v>
      </c>
      <c r="V43" s="46">
        <v>53.763315411585239</v>
      </c>
      <c r="W43" s="46">
        <v>0.23668458841476081</v>
      </c>
      <c r="X43" s="46">
        <v>4.1361854936329212E-2</v>
      </c>
      <c r="Y43"/>
      <c r="Z43" s="46">
        <v>40.322580645161281</v>
      </c>
      <c r="AA43" s="46">
        <v>34</v>
      </c>
      <c r="AB43"/>
      <c r="AC43"/>
    </row>
    <row r="44" spans="1:29" ht="15" x14ac:dyDescent="0.25">
      <c r="C44" s="12"/>
      <c r="D44" s="12"/>
      <c r="E44" s="12"/>
      <c r="H44" s="46">
        <v>14</v>
      </c>
      <c r="I44" s="51">
        <f t="shared" si="6"/>
        <v>43.912730747317767</v>
      </c>
      <c r="J44" s="51">
        <f t="shared" si="7"/>
        <v>-7.9127307473177666</v>
      </c>
      <c r="K44" s="51">
        <f t="shared" si="8"/>
        <v>-1.3827905885754672</v>
      </c>
      <c r="L44" s="50"/>
      <c r="M44" s="51">
        <f t="shared" si="10"/>
        <v>43.548387096774199</v>
      </c>
      <c r="N44" s="51">
        <f t="shared" si="9"/>
        <v>36</v>
      </c>
      <c r="O44"/>
      <c r="P44"/>
      <c r="U44" s="46">
        <v>14</v>
      </c>
      <c r="V44" s="46">
        <v>43.912730747317767</v>
      </c>
      <c r="W44" s="46">
        <v>-7.9127307473177666</v>
      </c>
      <c r="X44" s="46">
        <v>-1.3827905885754672</v>
      </c>
      <c r="Y44"/>
      <c r="Z44" s="46">
        <v>43.548387096774185</v>
      </c>
      <c r="AA44" s="46">
        <v>36</v>
      </c>
      <c r="AB44"/>
      <c r="AC44"/>
    </row>
    <row r="45" spans="1:29" ht="15" x14ac:dyDescent="0.25">
      <c r="C45" s="12"/>
      <c r="D45" s="12"/>
      <c r="E45" s="12"/>
      <c r="H45" s="46">
        <v>15</v>
      </c>
      <c r="I45" s="51">
        <f t="shared" si="6"/>
        <v>52.831709392251227</v>
      </c>
      <c r="J45" s="51">
        <f t="shared" si="7"/>
        <v>0.66829060774877291</v>
      </c>
      <c r="K45" s="51">
        <f t="shared" si="8"/>
        <v>0.11678723721790142</v>
      </c>
      <c r="L45" s="50"/>
      <c r="M45" s="51">
        <f t="shared" si="10"/>
        <v>46.774193548387103</v>
      </c>
      <c r="N45" s="51">
        <f t="shared" si="9"/>
        <v>36</v>
      </c>
      <c r="O45"/>
      <c r="P45"/>
      <c r="U45" s="46">
        <v>15</v>
      </c>
      <c r="V45" s="46">
        <v>52.831709392251227</v>
      </c>
      <c r="W45" s="46">
        <v>0.66829060774877291</v>
      </c>
      <c r="X45" s="46">
        <v>0.11678723721790142</v>
      </c>
      <c r="Y45"/>
      <c r="Z45" s="46">
        <v>46.774193548387089</v>
      </c>
      <c r="AA45" s="46">
        <v>36</v>
      </c>
      <c r="AB45"/>
      <c r="AC45"/>
    </row>
    <row r="46" spans="1:29" ht="15" x14ac:dyDescent="0.25">
      <c r="C46" s="12"/>
      <c r="D46" s="12"/>
      <c r="E46" s="12"/>
      <c r="H46" s="46">
        <v>16</v>
      </c>
      <c r="I46" s="51">
        <f t="shared" si="6"/>
        <v>51.900103372917215</v>
      </c>
      <c r="J46" s="51">
        <f t="shared" si="7"/>
        <v>5.099896627082785</v>
      </c>
      <c r="K46" s="51">
        <f t="shared" si="8"/>
        <v>0.89123329023022047</v>
      </c>
      <c r="L46" s="50"/>
      <c r="M46" s="51">
        <f t="shared" si="10"/>
        <v>50.000000000000007</v>
      </c>
      <c r="N46" s="51">
        <f t="shared" si="9"/>
        <v>38.5</v>
      </c>
      <c r="O46"/>
      <c r="P46"/>
      <c r="U46" s="46">
        <v>16</v>
      </c>
      <c r="V46" s="46">
        <v>51.900103372917215</v>
      </c>
      <c r="W46" s="46">
        <v>5.099896627082785</v>
      </c>
      <c r="X46" s="46">
        <v>0.89123329023022047</v>
      </c>
      <c r="Y46"/>
      <c r="Z46" s="46">
        <v>49.999999999999993</v>
      </c>
      <c r="AA46" s="46">
        <v>38.5</v>
      </c>
      <c r="AB46"/>
      <c r="AC46"/>
    </row>
    <row r="47" spans="1:29" ht="15" x14ac:dyDescent="0.25">
      <c r="C47" s="12"/>
      <c r="D47" s="12"/>
      <c r="E47" s="12"/>
      <c r="H47" s="46">
        <v>17</v>
      </c>
      <c r="I47" s="51">
        <f t="shared" si="6"/>
        <v>36.150622395091503</v>
      </c>
      <c r="J47" s="51">
        <f t="shared" si="7"/>
        <v>-2.6506223950915029</v>
      </c>
      <c r="K47" s="51">
        <f t="shared" si="8"/>
        <v>-0.46320996111770024</v>
      </c>
      <c r="L47" s="50"/>
      <c r="M47" s="51">
        <f t="shared" si="10"/>
        <v>53.225806451612911</v>
      </c>
      <c r="N47" s="51">
        <f t="shared" si="9"/>
        <v>39</v>
      </c>
      <c r="O47"/>
      <c r="P47"/>
      <c r="U47" s="46">
        <v>17</v>
      </c>
      <c r="V47" s="46">
        <v>36.150622395091503</v>
      </c>
      <c r="W47" s="46">
        <v>-2.6506223950915029</v>
      </c>
      <c r="X47" s="46">
        <v>-0.46320996111770024</v>
      </c>
      <c r="Y47"/>
      <c r="Z47" s="46">
        <v>53.225806451612897</v>
      </c>
      <c r="AA47" s="46">
        <v>39</v>
      </c>
      <c r="AB47"/>
      <c r="AC47"/>
    </row>
    <row r="48" spans="1:29" ht="15" x14ac:dyDescent="0.25">
      <c r="C48" s="12"/>
      <c r="D48" s="12"/>
      <c r="E48" s="12"/>
      <c r="H48" s="46">
        <v>18</v>
      </c>
      <c r="I48" s="51">
        <f t="shared" si="6"/>
        <v>36.103532945360769</v>
      </c>
      <c r="J48" s="51">
        <f t="shared" si="7"/>
        <v>-2.1035329453607687</v>
      </c>
      <c r="K48" s="51">
        <f t="shared" si="8"/>
        <v>-0.36760325259257698</v>
      </c>
      <c r="L48" s="50"/>
      <c r="M48" s="51">
        <f t="shared" si="10"/>
        <v>56.451612903225815</v>
      </c>
      <c r="N48" s="51">
        <f t="shared" si="9"/>
        <v>39.5</v>
      </c>
      <c r="O48"/>
      <c r="P48"/>
      <c r="U48" s="46">
        <v>18</v>
      </c>
      <c r="V48" s="46">
        <v>36.103532945360769</v>
      </c>
      <c r="W48" s="46">
        <v>-2.1035329453607687</v>
      </c>
      <c r="X48" s="46">
        <v>-0.36760325259257698</v>
      </c>
      <c r="Y48"/>
      <c r="Z48" s="46">
        <v>56.451612903225801</v>
      </c>
      <c r="AA48" s="46">
        <v>39.5</v>
      </c>
      <c r="AB48"/>
      <c r="AC48"/>
    </row>
    <row r="49" spans="3:29" ht="15" x14ac:dyDescent="0.25">
      <c r="C49" s="12"/>
      <c r="D49" s="12"/>
      <c r="E49" s="12"/>
      <c r="H49" s="46">
        <v>19</v>
      </c>
      <c r="I49" s="51">
        <f t="shared" si="6"/>
        <v>44.185084470421657</v>
      </c>
      <c r="J49" s="51">
        <f t="shared" si="7"/>
        <v>-0.18508447042165699</v>
      </c>
      <c r="K49" s="51">
        <f t="shared" si="8"/>
        <v>-3.2344467663997935E-2</v>
      </c>
      <c r="L49" s="50"/>
      <c r="M49" s="51">
        <f t="shared" si="10"/>
        <v>59.677419354838719</v>
      </c>
      <c r="N49" s="51">
        <f t="shared" si="9"/>
        <v>44</v>
      </c>
      <c r="O49"/>
      <c r="P49"/>
      <c r="U49" s="46">
        <v>19</v>
      </c>
      <c r="V49" s="46">
        <v>44.185084470421657</v>
      </c>
      <c r="W49" s="46">
        <v>-0.18508447042165699</v>
      </c>
      <c r="X49" s="46">
        <v>-3.2344467663997935E-2</v>
      </c>
      <c r="Y49"/>
      <c r="Z49" s="46">
        <v>59.677419354838705</v>
      </c>
      <c r="AA49" s="46">
        <v>44</v>
      </c>
      <c r="AB49"/>
      <c r="AC49"/>
    </row>
    <row r="50" spans="3:29" ht="15" x14ac:dyDescent="0.25">
      <c r="C50" s="12"/>
      <c r="D50" s="12"/>
      <c r="E50" s="12"/>
      <c r="H50" s="46">
        <v>20</v>
      </c>
      <c r="I50" s="51">
        <f t="shared" si="6"/>
        <v>32.19893404438227</v>
      </c>
      <c r="J50" s="51">
        <f t="shared" si="7"/>
        <v>0.8010659556177302</v>
      </c>
      <c r="K50" s="51">
        <f t="shared" si="8"/>
        <v>0.13999041539886811</v>
      </c>
      <c r="L50" s="50"/>
      <c r="M50" s="51">
        <f t="shared" si="10"/>
        <v>62.903225806451623</v>
      </c>
      <c r="N50" s="51">
        <f t="shared" si="9"/>
        <v>44</v>
      </c>
      <c r="O50"/>
      <c r="P50"/>
      <c r="U50" s="46">
        <v>20</v>
      </c>
      <c r="V50" s="46">
        <v>32.19893404438227</v>
      </c>
      <c r="W50" s="46">
        <v>0.8010659556177302</v>
      </c>
      <c r="X50" s="46">
        <v>0.13999041539886811</v>
      </c>
      <c r="Y50"/>
      <c r="Z50" s="46">
        <v>62.903225806451609</v>
      </c>
      <c r="AA50" s="46">
        <v>44</v>
      </c>
      <c r="AB50"/>
      <c r="AC50"/>
    </row>
    <row r="51" spans="3:29" ht="15" x14ac:dyDescent="0.25">
      <c r="C51" s="12"/>
      <c r="D51" s="12"/>
      <c r="E51" s="12"/>
      <c r="H51" s="46">
        <v>21</v>
      </c>
      <c r="I51" s="51">
        <f t="shared" si="6"/>
        <v>42.604409130137967</v>
      </c>
      <c r="J51" s="51">
        <f t="shared" si="7"/>
        <v>-3.6044091301379666</v>
      </c>
      <c r="K51" s="51">
        <f t="shared" si="8"/>
        <v>-0.62988912193426727</v>
      </c>
      <c r="L51" s="50"/>
      <c r="M51" s="51">
        <f t="shared" si="10"/>
        <v>66.129032258064527</v>
      </c>
      <c r="N51" s="51">
        <f t="shared" si="9"/>
        <v>52</v>
      </c>
      <c r="O51"/>
      <c r="P51"/>
      <c r="U51" s="46">
        <v>21</v>
      </c>
      <c r="V51" s="46">
        <v>42.604409130137967</v>
      </c>
      <c r="W51" s="46">
        <v>-3.6044091301379666</v>
      </c>
      <c r="X51" s="46">
        <v>-0.62988912193426727</v>
      </c>
      <c r="Y51"/>
      <c r="Z51" s="46">
        <v>66.129032258064512</v>
      </c>
      <c r="AA51" s="46">
        <v>52</v>
      </c>
      <c r="AB51"/>
      <c r="AC51"/>
    </row>
    <row r="52" spans="3:29" ht="15" x14ac:dyDescent="0.25">
      <c r="C52" s="12"/>
      <c r="D52" s="12"/>
      <c r="E52" s="12"/>
      <c r="H52" s="46">
        <v>22</v>
      </c>
      <c r="I52" s="51">
        <f t="shared" si="6"/>
        <v>50.036891334249177</v>
      </c>
      <c r="J52" s="51">
        <f t="shared" si="7"/>
        <v>2.9631086657508234</v>
      </c>
      <c r="K52" s="51">
        <f t="shared" si="8"/>
        <v>0.51781855174530722</v>
      </c>
      <c r="L52" s="50"/>
      <c r="M52" s="51">
        <f t="shared" si="10"/>
        <v>69.354838709677423</v>
      </c>
      <c r="N52" s="51">
        <f t="shared" si="9"/>
        <v>53</v>
      </c>
      <c r="O52"/>
      <c r="P52"/>
      <c r="U52" s="46">
        <v>22</v>
      </c>
      <c r="V52" s="46">
        <v>50.036891334249177</v>
      </c>
      <c r="W52" s="46">
        <v>2.9631086657508234</v>
      </c>
      <c r="X52" s="46">
        <v>0.51781855174530722</v>
      </c>
      <c r="Y52"/>
      <c r="Z52" s="46">
        <v>69.354838709677409</v>
      </c>
      <c r="AA52" s="46">
        <v>53</v>
      </c>
      <c r="AB52"/>
      <c r="AC52"/>
    </row>
    <row r="53" spans="3:29" ht="15" x14ac:dyDescent="0.25">
      <c r="C53" s="12"/>
      <c r="D53" s="12"/>
      <c r="E53" s="12"/>
      <c r="H53" s="46">
        <v>23</v>
      </c>
      <c r="I53" s="51">
        <f t="shared" si="6"/>
        <v>47.760057223285102</v>
      </c>
      <c r="J53" s="51">
        <f t="shared" si="7"/>
        <v>-9.2600572232851022</v>
      </c>
      <c r="K53" s="51">
        <f t="shared" si="8"/>
        <v>-1.6182428528064623</v>
      </c>
      <c r="L53" s="50"/>
      <c r="M53" s="51">
        <f t="shared" si="10"/>
        <v>72.58064516129032</v>
      </c>
      <c r="N53" s="51">
        <f t="shared" si="9"/>
        <v>53.5</v>
      </c>
      <c r="O53"/>
      <c r="P53"/>
      <c r="U53" s="46">
        <v>23</v>
      </c>
      <c r="V53" s="46">
        <v>47.760057223285102</v>
      </c>
      <c r="W53" s="46">
        <v>-9.2600572232851022</v>
      </c>
      <c r="X53" s="46">
        <v>-1.6182428528064623</v>
      </c>
      <c r="Y53"/>
      <c r="Z53" s="46">
        <v>72.58064516129032</v>
      </c>
      <c r="AA53" s="46">
        <v>53.5</v>
      </c>
      <c r="AB53"/>
      <c r="AC53"/>
    </row>
    <row r="54" spans="3:29" ht="15" x14ac:dyDescent="0.25">
      <c r="C54" s="12"/>
      <c r="D54" s="12"/>
      <c r="E54" s="12"/>
      <c r="H54" s="46">
        <v>24</v>
      </c>
      <c r="I54" s="51">
        <f t="shared" si="6"/>
        <v>38.050740908209804</v>
      </c>
      <c r="J54" s="51">
        <f t="shared" si="7"/>
        <v>1.4492590917901964</v>
      </c>
      <c r="K54" s="51">
        <f t="shared" si="8"/>
        <v>0.25326551560145405</v>
      </c>
      <c r="L54" s="50"/>
      <c r="M54" s="51">
        <f t="shared" si="10"/>
        <v>75.806451612903217</v>
      </c>
      <c r="N54" s="51">
        <f t="shared" si="9"/>
        <v>54</v>
      </c>
      <c r="O54"/>
      <c r="P54"/>
      <c r="U54" s="46">
        <v>24</v>
      </c>
      <c r="V54" s="46">
        <v>38.050740908209804</v>
      </c>
      <c r="W54" s="46">
        <v>1.4492590917901964</v>
      </c>
      <c r="X54" s="46">
        <v>0.25326551560145405</v>
      </c>
      <c r="Y54"/>
      <c r="Z54" s="46">
        <v>75.806451612903217</v>
      </c>
      <c r="AA54" s="46">
        <v>54</v>
      </c>
      <c r="AB54"/>
      <c r="AC54"/>
    </row>
    <row r="55" spans="3:29" ht="15" x14ac:dyDescent="0.25">
      <c r="C55" s="12"/>
      <c r="D55" s="12"/>
      <c r="E55" s="12"/>
      <c r="H55" s="46">
        <v>25</v>
      </c>
      <c r="I55" s="51">
        <f t="shared" si="6"/>
        <v>41.766982010265409</v>
      </c>
      <c r="J55" s="51">
        <f t="shared" si="7"/>
        <v>-5.7669820102654086</v>
      </c>
      <c r="K55" s="51">
        <f t="shared" si="8"/>
        <v>-1.0078099082269691</v>
      </c>
      <c r="L55" s="50"/>
      <c r="M55" s="51">
        <f t="shared" si="10"/>
        <v>79.032258064516114</v>
      </c>
      <c r="N55" s="51">
        <f t="shared" si="9"/>
        <v>54.5</v>
      </c>
      <c r="O55"/>
      <c r="P55"/>
      <c r="U55" s="46">
        <v>25</v>
      </c>
      <c r="V55" s="46">
        <v>41.766982010265409</v>
      </c>
      <c r="W55" s="46">
        <v>-5.7669820102654086</v>
      </c>
      <c r="X55" s="46">
        <v>-1.0078099082269691</v>
      </c>
      <c r="Y55"/>
      <c r="Z55" s="46">
        <v>79.032258064516114</v>
      </c>
      <c r="AA55" s="46">
        <v>54.5</v>
      </c>
      <c r="AB55"/>
      <c r="AC55"/>
    </row>
    <row r="56" spans="3:29" ht="15" x14ac:dyDescent="0.25">
      <c r="C56" s="12"/>
      <c r="D56" s="12"/>
      <c r="E56" s="12"/>
      <c r="H56" s="46">
        <v>26</v>
      </c>
      <c r="I56" s="51">
        <f t="shared" si="6"/>
        <v>17.239790736698396</v>
      </c>
      <c r="J56" s="51">
        <f t="shared" si="7"/>
        <v>-8.7397907366983958</v>
      </c>
      <c r="K56" s="51">
        <f t="shared" si="8"/>
        <v>-1.5273235957033202</v>
      </c>
      <c r="L56" s="50"/>
      <c r="M56" s="51">
        <f t="shared" si="10"/>
        <v>82.258064516129011</v>
      </c>
      <c r="N56" s="51">
        <f t="shared" si="9"/>
        <v>57</v>
      </c>
      <c r="O56"/>
      <c r="P56"/>
      <c r="U56" s="46">
        <v>26</v>
      </c>
      <c r="V56" s="46">
        <v>17.239790736698396</v>
      </c>
      <c r="W56" s="46">
        <v>-8.7397907366983958</v>
      </c>
      <c r="X56" s="46">
        <v>-1.5273235957033202</v>
      </c>
      <c r="Y56"/>
      <c r="Z56" s="46">
        <v>82.258064516129025</v>
      </c>
      <c r="AA56" s="46">
        <v>57</v>
      </c>
      <c r="AB56"/>
      <c r="AC56"/>
    </row>
    <row r="57" spans="3:29" ht="15" x14ac:dyDescent="0.25">
      <c r="C57" s="12"/>
      <c r="D57" s="12"/>
      <c r="E57" s="12"/>
      <c r="F57" s="12"/>
      <c r="H57" s="46">
        <v>27</v>
      </c>
      <c r="I57" s="51">
        <f t="shared" si="6"/>
        <v>27.174371325146865</v>
      </c>
      <c r="J57" s="51">
        <f t="shared" si="7"/>
        <v>2.8256286748531352</v>
      </c>
      <c r="K57" s="51">
        <f t="shared" si="8"/>
        <v>0.49379321288296746</v>
      </c>
      <c r="L57" s="50"/>
      <c r="M57" s="51">
        <f t="shared" si="10"/>
        <v>85.483870967741908</v>
      </c>
      <c r="N57" s="51">
        <f t="shared" si="9"/>
        <v>60</v>
      </c>
      <c r="O57"/>
      <c r="P57"/>
      <c r="U57" s="46">
        <v>27</v>
      </c>
      <c r="V57" s="46">
        <v>27.174371325146865</v>
      </c>
      <c r="W57" s="46">
        <v>2.8256286748531352</v>
      </c>
      <c r="X57" s="46">
        <v>0.49379321288296746</v>
      </c>
      <c r="Y57"/>
      <c r="Z57" s="46">
        <v>85.483870967741922</v>
      </c>
      <c r="AA57" s="46">
        <v>60</v>
      </c>
      <c r="AB57"/>
      <c r="AC57"/>
    </row>
    <row r="58" spans="3:29" ht="15" x14ac:dyDescent="0.25">
      <c r="C58" s="12"/>
      <c r="D58" s="12"/>
      <c r="E58" s="12"/>
      <c r="F58" s="12"/>
      <c r="H58" s="46">
        <v>28</v>
      </c>
      <c r="I58" s="51">
        <f t="shared" si="6"/>
        <v>25.687874884324629</v>
      </c>
      <c r="J58" s="51">
        <f t="shared" si="7"/>
        <v>3.3121251156753715</v>
      </c>
      <c r="K58" s="51">
        <f t="shared" si="8"/>
        <v>0.57881097997588771</v>
      </c>
      <c r="L58" s="50"/>
      <c r="M58" s="51">
        <f t="shared" si="10"/>
        <v>88.709677419354804</v>
      </c>
      <c r="N58" s="51">
        <f t="shared" si="9"/>
        <v>61</v>
      </c>
      <c r="O58"/>
      <c r="P58"/>
      <c r="U58" s="46">
        <v>28</v>
      </c>
      <c r="V58" s="46">
        <v>25.687874884324629</v>
      </c>
      <c r="W58" s="46">
        <v>3.3121251156753715</v>
      </c>
      <c r="X58" s="46">
        <v>0.57881097997588771</v>
      </c>
      <c r="Y58"/>
      <c r="Z58" s="46">
        <v>88.709677419354833</v>
      </c>
      <c r="AA58" s="46">
        <v>61</v>
      </c>
      <c r="AB58"/>
      <c r="AC58"/>
    </row>
    <row r="59" spans="3:29" ht="15" x14ac:dyDescent="0.25">
      <c r="C59" s="12"/>
      <c r="D59" s="12"/>
      <c r="E59" s="12"/>
      <c r="F59" s="12"/>
      <c r="H59" s="46">
        <v>29</v>
      </c>
      <c r="I59" s="51">
        <f t="shared" si="6"/>
        <v>24.201378443502378</v>
      </c>
      <c r="J59" s="51">
        <f t="shared" si="7"/>
        <v>2.298621556497622</v>
      </c>
      <c r="K59" s="51">
        <f t="shared" si="8"/>
        <v>0.40169599554478025</v>
      </c>
      <c r="L59" s="50"/>
      <c r="M59" s="51">
        <f t="shared" si="10"/>
        <v>91.935483870967701</v>
      </c>
      <c r="N59" s="51">
        <f t="shared" si="9"/>
        <v>63.5</v>
      </c>
      <c r="O59"/>
      <c r="P59"/>
      <c r="U59" s="46">
        <v>29</v>
      </c>
      <c r="V59" s="46">
        <v>24.201378443502378</v>
      </c>
      <c r="W59" s="46">
        <v>2.298621556497622</v>
      </c>
      <c r="X59" s="46">
        <v>0.40169599554478025</v>
      </c>
      <c r="Y59"/>
      <c r="Z59" s="46">
        <v>91.93548387096773</v>
      </c>
      <c r="AA59" s="46">
        <v>63.5</v>
      </c>
      <c r="AB59"/>
      <c r="AC59"/>
    </row>
    <row r="60" spans="3:29" ht="15" x14ac:dyDescent="0.25">
      <c r="C60" s="12"/>
      <c r="D60" s="12"/>
      <c r="E60" s="12"/>
      <c r="F60" s="12"/>
      <c r="H60" s="46">
        <v>30</v>
      </c>
      <c r="I60" s="51">
        <f t="shared" si="6"/>
        <v>21.040027762934997</v>
      </c>
      <c r="J60" s="51">
        <f t="shared" si="7"/>
        <v>3.4599722370650028</v>
      </c>
      <c r="K60" s="51">
        <f t="shared" si="8"/>
        <v>0.60464802846573518</v>
      </c>
      <c r="L60" s="50"/>
      <c r="M60" s="51">
        <f t="shared" si="10"/>
        <v>95.161290322580598</v>
      </c>
      <c r="N60" s="51">
        <f t="shared" si="9"/>
        <v>65</v>
      </c>
      <c r="O60"/>
      <c r="P60"/>
      <c r="U60" s="46">
        <v>30</v>
      </c>
      <c r="V60" s="46">
        <v>21.040027762934997</v>
      </c>
      <c r="W60" s="46">
        <v>3.4599722370650028</v>
      </c>
      <c r="X60" s="46">
        <v>0.60464802846573518</v>
      </c>
      <c r="Y60"/>
      <c r="Z60" s="46">
        <v>95.161290322580641</v>
      </c>
      <c r="AA60" s="46">
        <v>65</v>
      </c>
      <c r="AB60"/>
      <c r="AC60"/>
    </row>
    <row r="61" spans="3:29" ht="15.75" thickBot="1" x14ac:dyDescent="0.3">
      <c r="C61" s="12"/>
      <c r="D61" s="12"/>
      <c r="E61" s="12"/>
      <c r="F61" s="12"/>
      <c r="H61" s="46">
        <v>31</v>
      </c>
      <c r="I61" s="51">
        <f t="shared" si="6"/>
        <v>16.015465043699606</v>
      </c>
      <c r="J61" s="51">
        <f t="shared" si="7"/>
        <v>10.484534956300394</v>
      </c>
      <c r="K61" s="51">
        <f t="shared" si="8"/>
        <v>1.8322266643632656</v>
      </c>
      <c r="L61" s="50"/>
      <c r="M61" s="51">
        <f t="shared" si="10"/>
        <v>98.387096774193495</v>
      </c>
      <c r="N61" s="51">
        <f t="shared" si="9"/>
        <v>65</v>
      </c>
      <c r="O61"/>
      <c r="P61"/>
      <c r="U61" s="47">
        <v>31</v>
      </c>
      <c r="V61" s="47">
        <v>16.015465043699606</v>
      </c>
      <c r="W61" s="47">
        <v>10.484534956300394</v>
      </c>
      <c r="X61" s="47">
        <v>1.8322266643632656</v>
      </c>
      <c r="Y61"/>
      <c r="Z61" s="47">
        <v>98.387096774193537</v>
      </c>
      <c r="AA61" s="47">
        <v>65</v>
      </c>
      <c r="AB61"/>
      <c r="AC61"/>
    </row>
  </sheetData>
  <sortState ref="AA31:AA61">
    <sortCondition ref="AA31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J2" sqref="J2"/>
    </sheetView>
  </sheetViews>
  <sheetFormatPr defaultRowHeight="15" x14ac:dyDescent="0.25"/>
  <cols>
    <col min="1" max="1" width="3.7109375" style="20" customWidth="1"/>
    <col min="2" max="2" width="4.42578125" style="20" customWidth="1"/>
    <col min="3" max="3" width="9.140625" style="20"/>
    <col min="4" max="4" width="10.85546875" style="20" customWidth="1"/>
    <col min="5" max="5" width="10.5703125" style="20" customWidth="1"/>
    <col min="6" max="7" width="9.140625" style="20"/>
    <col min="8" max="9" width="12.28515625" style="20" bestFit="1" customWidth="1"/>
    <col min="10" max="11" width="9.140625" style="20"/>
    <col min="12" max="12" width="10.7109375" style="20" customWidth="1"/>
    <col min="13" max="13" width="10.5703125" style="20" customWidth="1"/>
    <col min="14" max="16384" width="9.140625" style="20"/>
  </cols>
  <sheetData>
    <row r="1" spans="1:15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L1" s="100" t="s">
        <v>92</v>
      </c>
    </row>
    <row r="2" spans="1:15" ht="15.75" x14ac:dyDescent="0.25">
      <c r="A2" s="10" t="s">
        <v>0</v>
      </c>
      <c r="B2" s="2"/>
      <c r="C2" s="2"/>
      <c r="D2" s="2"/>
      <c r="E2" s="2"/>
      <c r="F2" s="2"/>
      <c r="G2" s="2"/>
      <c r="H2" s="2"/>
      <c r="I2" s="2"/>
      <c r="J2" s="191" t="s">
        <v>272</v>
      </c>
      <c r="L2" s="100" t="s">
        <v>95</v>
      </c>
    </row>
    <row r="3" spans="1:15" ht="18.75" x14ac:dyDescent="0.25">
      <c r="A3" s="1" t="str">
        <f>Коэффициенты!A3</f>
        <v>Множественная регрессия в MS EXCEL</v>
      </c>
      <c r="B3" s="1"/>
      <c r="C3" s="1"/>
      <c r="D3" s="1"/>
      <c r="E3" s="1"/>
      <c r="F3" s="1"/>
      <c r="G3" s="1"/>
      <c r="H3" s="1"/>
      <c r="I3" s="1"/>
      <c r="J3" s="1"/>
      <c r="L3" s="100" t="s">
        <v>96</v>
      </c>
    </row>
    <row r="4" spans="1:15" ht="15.75" x14ac:dyDescent="0.25">
      <c r="A4" s="9" t="s">
        <v>97</v>
      </c>
      <c r="B4" s="9"/>
      <c r="C4" s="9"/>
      <c r="D4" s="9"/>
      <c r="E4" s="9"/>
      <c r="F4" s="9"/>
      <c r="G4" s="9"/>
      <c r="H4" s="9"/>
      <c r="I4" s="9"/>
      <c r="J4" s="9"/>
      <c r="L4" s="101" t="s">
        <v>99</v>
      </c>
    </row>
    <row r="5" spans="1:15" x14ac:dyDescent="0.25">
      <c r="L5" s="100" t="s">
        <v>94</v>
      </c>
    </row>
    <row r="6" spans="1:15" ht="29.25" customHeight="1" x14ac:dyDescent="0.25"/>
    <row r="7" spans="1:15" x14ac:dyDescent="0.25">
      <c r="L7" s="102"/>
      <c r="M7" s="105" t="s">
        <v>100</v>
      </c>
    </row>
    <row r="8" spans="1:15" x14ac:dyDescent="0.25">
      <c r="A8" s="96" t="s">
        <v>4</v>
      </c>
      <c r="B8" s="21"/>
      <c r="C8" s="98" t="s">
        <v>77</v>
      </c>
      <c r="D8" s="98" t="s">
        <v>78</v>
      </c>
      <c r="E8" s="97" t="s">
        <v>3</v>
      </c>
      <c r="G8" s="24" t="s">
        <v>6</v>
      </c>
      <c r="H8" s="23"/>
      <c r="I8" s="23"/>
      <c r="L8" s="18" t="s">
        <v>70</v>
      </c>
      <c r="M8" s="18" t="s">
        <v>71</v>
      </c>
      <c r="N8" s="64" t="s">
        <v>93</v>
      </c>
      <c r="O8" s="4"/>
    </row>
    <row r="9" spans="1:15" x14ac:dyDescent="0.25">
      <c r="A9" s="21">
        <v>1</v>
      </c>
      <c r="B9" s="6">
        <v>1</v>
      </c>
      <c r="C9" s="14">
        <f>Коэффициенты!B20</f>
        <v>2400</v>
      </c>
      <c r="D9" s="14">
        <f>Коэффициенты!C20</f>
        <v>54.5</v>
      </c>
      <c r="E9" s="14">
        <f>Коэффициенты!D20</f>
        <v>60</v>
      </c>
      <c r="G9" s="22">
        <f t="array" ref="G9:I11">MMULT(TRANSPOSE(B9:D39),(B9:D39))</f>
        <v>31</v>
      </c>
      <c r="H9" s="22">
        <v>92725</v>
      </c>
      <c r="I9" s="22">
        <v>1812.5</v>
      </c>
      <c r="L9" s="14">
        <f t="array" ref="L9:L39">MMULT(B9:D39,H24:H26)</f>
        <v>53.773498386863835</v>
      </c>
      <c r="M9" s="14">
        <f t="array" ref="M9:M39">MMULT(MMULT(MMULT(B9:D39,G14:I16),TRANSPOSE(B9:D39)),E9:E39)</f>
        <v>53.773498386863807</v>
      </c>
      <c r="O9" s="4"/>
    </row>
    <row r="10" spans="1:15" x14ac:dyDescent="0.25">
      <c r="A10" s="21">
        <v>2</v>
      </c>
      <c r="B10" s="6">
        <v>1</v>
      </c>
      <c r="C10" s="14">
        <f>Коэффициенты!B21</f>
        <v>2450</v>
      </c>
      <c r="D10" s="14">
        <f>Коэффициенты!C21</f>
        <v>56</v>
      </c>
      <c r="E10" s="14">
        <f>Коэффициенты!D21</f>
        <v>61</v>
      </c>
      <c r="F10" s="4"/>
      <c r="G10" s="22">
        <v>92725</v>
      </c>
      <c r="H10" s="22">
        <v>281864375</v>
      </c>
      <c r="I10" s="22">
        <v>5444787.5</v>
      </c>
      <c r="L10" s="14">
        <v>54.422567707813542</v>
      </c>
      <c r="M10" s="14">
        <v>54.422567707813663</v>
      </c>
      <c r="O10" s="4"/>
    </row>
    <row r="11" spans="1:15" x14ac:dyDescent="0.25">
      <c r="A11" s="21">
        <v>3</v>
      </c>
      <c r="B11" s="6">
        <v>1</v>
      </c>
      <c r="C11" s="14">
        <f>Коэффициенты!B22</f>
        <v>2450</v>
      </c>
      <c r="D11" s="14">
        <f>Коэффициенты!C22</f>
        <v>58.5</v>
      </c>
      <c r="E11" s="14">
        <f>Коэффициенты!D22</f>
        <v>65</v>
      </c>
      <c r="F11" s="4"/>
      <c r="G11" s="22">
        <v>1812.5</v>
      </c>
      <c r="H11" s="22">
        <v>5444787.5</v>
      </c>
      <c r="I11" s="22">
        <v>107419.25</v>
      </c>
      <c r="L11" s="14">
        <v>58.138808809869161</v>
      </c>
      <c r="M11" s="14">
        <v>58.138808809869474</v>
      </c>
      <c r="O11" s="4"/>
    </row>
    <row r="12" spans="1:15" x14ac:dyDescent="0.25">
      <c r="A12" s="21">
        <v>4</v>
      </c>
      <c r="B12" s="6">
        <v>1</v>
      </c>
      <c r="C12" s="14">
        <f>Коэффициенты!B23</f>
        <v>2500</v>
      </c>
      <c r="D12" s="14">
        <f>Коэффициенты!C23</f>
        <v>43</v>
      </c>
      <c r="E12" s="14">
        <f>Коэффициенты!D23</f>
        <v>30.5</v>
      </c>
      <c r="F12" s="4"/>
      <c r="L12" s="14">
        <v>33.517438636840609</v>
      </c>
      <c r="M12" s="14">
        <v>33.517438636840957</v>
      </c>
      <c r="O12" s="4"/>
    </row>
    <row r="13" spans="1:15" ht="17.25" x14ac:dyDescent="0.25">
      <c r="A13" s="21">
        <v>5</v>
      </c>
      <c r="B13" s="6">
        <v>1</v>
      </c>
      <c r="C13" s="14">
        <f>Коэффициенты!B24</f>
        <v>2500</v>
      </c>
      <c r="D13" s="14">
        <f>Коэффициенты!C24</f>
        <v>58</v>
      </c>
      <c r="E13" s="14">
        <f>Коэффициенты!D24</f>
        <v>63.5</v>
      </c>
      <c r="F13" s="4"/>
      <c r="G13" s="24" t="s">
        <v>7</v>
      </c>
      <c r="H13" s="23"/>
      <c r="I13" s="23"/>
      <c r="L13" s="14">
        <v>55.814885249174367</v>
      </c>
      <c r="M13" s="14">
        <v>55.814885249174644</v>
      </c>
      <c r="O13" s="4"/>
    </row>
    <row r="14" spans="1:15" x14ac:dyDescent="0.25">
      <c r="A14" s="21">
        <v>6</v>
      </c>
      <c r="B14" s="6">
        <v>1</v>
      </c>
      <c r="C14" s="14">
        <f>Коэффициенты!B25</f>
        <v>2500</v>
      </c>
      <c r="D14" s="14">
        <f>Коэффициенты!C25</f>
        <v>59</v>
      </c>
      <c r="E14" s="14">
        <f>Коэффициенты!D25</f>
        <v>65</v>
      </c>
      <c r="F14" s="4"/>
      <c r="G14" s="22">
        <f t="array" ref="G14:I16">MINVERSE(G9:I11)</f>
        <v>3.4087134554280905</v>
      </c>
      <c r="H14" s="22">
        <v>-4.9501876933190293E-4</v>
      </c>
      <c r="I14" s="22">
        <v>-3.2424552679707667E-2</v>
      </c>
      <c r="L14" s="14">
        <v>57.301381689996617</v>
      </c>
      <c r="M14" s="14">
        <v>57.301381689996688</v>
      </c>
      <c r="O14" s="4"/>
    </row>
    <row r="15" spans="1:15" x14ac:dyDescent="0.25">
      <c r="A15" s="21">
        <v>7</v>
      </c>
      <c r="B15" s="6">
        <v>1</v>
      </c>
      <c r="C15" s="14">
        <f>Коэффициенты!B26</f>
        <v>2700</v>
      </c>
      <c r="D15" s="14">
        <f>Коэффициенты!C26</f>
        <v>52.5</v>
      </c>
      <c r="E15" s="14">
        <f>Коэффициенты!D26</f>
        <v>44</v>
      </c>
      <c r="F15" s="4"/>
      <c r="G15" s="22">
        <v>-4.9501876933189914E-4</v>
      </c>
      <c r="H15" s="22">
        <v>2.4186833655004899E-7</v>
      </c>
      <c r="I15" s="22">
        <v>-3.9071225695527816E-6</v>
      </c>
      <c r="L15" s="14">
        <v>41.316453463517277</v>
      </c>
      <c r="M15" s="14">
        <v>41.316453463517917</v>
      </c>
      <c r="O15" s="4"/>
    </row>
    <row r="16" spans="1:15" x14ac:dyDescent="0.25">
      <c r="A16" s="21">
        <v>8</v>
      </c>
      <c r="B16" s="6">
        <v>1</v>
      </c>
      <c r="C16" s="14">
        <f>Коэффициенты!B27</f>
        <v>2700</v>
      </c>
      <c r="D16" s="14">
        <f>Коэффициенты!C27</f>
        <v>65.5</v>
      </c>
      <c r="E16" s="14">
        <f>Коэффициенты!D27</f>
        <v>52</v>
      </c>
      <c r="F16" s="4"/>
      <c r="G16" s="22">
        <v>-3.2424552679707855E-2</v>
      </c>
      <c r="H16" s="22">
        <v>-3.9071225695527189E-6</v>
      </c>
      <c r="I16" s="22">
        <v>7.5445466114908654E-4</v>
      </c>
      <c r="L16" s="14">
        <v>60.640907194206548</v>
      </c>
      <c r="M16" s="14">
        <v>60.640907194207323</v>
      </c>
      <c r="O16" s="4"/>
    </row>
    <row r="17" spans="1:15" x14ac:dyDescent="0.25">
      <c r="A17" s="21">
        <v>9</v>
      </c>
      <c r="B17" s="6">
        <v>1</v>
      </c>
      <c r="C17" s="14">
        <f>Коэффициенты!B28</f>
        <v>2700</v>
      </c>
      <c r="D17" s="14">
        <f>Коэффициенты!C28</f>
        <v>68</v>
      </c>
      <c r="E17" s="14">
        <f>Коэффициенты!D28</f>
        <v>54.5</v>
      </c>
      <c r="F17" s="4"/>
      <c r="L17" s="14">
        <v>64.357148296262167</v>
      </c>
      <c r="M17" s="14">
        <v>64.357148296262451</v>
      </c>
      <c r="O17" s="4"/>
    </row>
    <row r="18" spans="1:15" x14ac:dyDescent="0.25">
      <c r="A18" s="21">
        <v>10</v>
      </c>
      <c r="B18" s="6">
        <v>1</v>
      </c>
      <c r="C18" s="14">
        <f>Коэффициенты!B29</f>
        <v>2750</v>
      </c>
      <c r="D18" s="14">
        <f>Коэффициенты!C29</f>
        <v>45</v>
      </c>
      <c r="E18" s="14">
        <f>Коэффициенты!D29</f>
        <v>30</v>
      </c>
      <c r="G18" s="25" t="s">
        <v>8</v>
      </c>
      <c r="L18" s="14">
        <v>28.587054817066729</v>
      </c>
      <c r="M18" s="14">
        <v>28.587054817066882</v>
      </c>
      <c r="O18" s="4"/>
    </row>
    <row r="19" spans="1:15" x14ac:dyDescent="0.25">
      <c r="A19" s="21">
        <v>11</v>
      </c>
      <c r="B19" s="6">
        <v>1</v>
      </c>
      <c r="C19" s="14">
        <f>Коэффициенты!B30</f>
        <v>2775</v>
      </c>
      <c r="D19" s="14">
        <f>Коэффициенты!C30</f>
        <v>45.5</v>
      </c>
      <c r="E19" s="14">
        <f>Коэффициенты!D30</f>
        <v>26</v>
      </c>
      <c r="G19" s="22">
        <f t="array" ref="G19:G21">MMULT(TRANSPOSE(B9:D39),(E9:E39))</f>
        <v>1270.5</v>
      </c>
      <c r="L19" s="14">
        <v>28.539965367336023</v>
      </c>
      <c r="M19" s="14">
        <v>28.539965367336666</v>
      </c>
      <c r="O19" s="4"/>
    </row>
    <row r="20" spans="1:15" x14ac:dyDescent="0.25">
      <c r="A20" s="21">
        <v>12</v>
      </c>
      <c r="B20" s="6">
        <v>1</v>
      </c>
      <c r="C20" s="14">
        <f>Коэффициенты!B31</f>
        <v>2800</v>
      </c>
      <c r="D20" s="14">
        <f>Коэффициенты!C31</f>
        <v>48</v>
      </c>
      <c r="E20" s="14">
        <f>Коэффициенты!D31</f>
        <v>23</v>
      </c>
      <c r="G20" s="22">
        <v>3692325</v>
      </c>
      <c r="L20" s="14">
        <v>31.46586879924979</v>
      </c>
      <c r="M20" s="14">
        <v>31.46586879924952</v>
      </c>
      <c r="O20" s="4"/>
    </row>
    <row r="21" spans="1:15" x14ac:dyDescent="0.25">
      <c r="A21" s="21">
        <v>13</v>
      </c>
      <c r="B21" s="6">
        <v>1</v>
      </c>
      <c r="C21" s="14">
        <f>Коэффициенты!B32</f>
        <v>2800</v>
      </c>
      <c r="D21" s="14">
        <f>Коэффициенты!C32</f>
        <v>63</v>
      </c>
      <c r="E21" s="14">
        <f>Коэффициенты!D32</f>
        <v>54</v>
      </c>
      <c r="G21" s="22">
        <v>75694.75</v>
      </c>
      <c r="L21" s="14">
        <v>53.763315411583548</v>
      </c>
      <c r="M21" s="14">
        <v>53.763315411583491</v>
      </c>
    </row>
    <row r="22" spans="1:15" x14ac:dyDescent="0.25">
      <c r="A22" s="21">
        <v>14</v>
      </c>
      <c r="B22" s="6">
        <v>1</v>
      </c>
      <c r="C22" s="14">
        <f>Коэффициенты!B33</f>
        <v>2900</v>
      </c>
      <c r="D22" s="14">
        <f>Коэффициенты!C33</f>
        <v>58.5</v>
      </c>
      <c r="E22" s="14">
        <f>Коэффициенты!D33</f>
        <v>36</v>
      </c>
      <c r="L22" s="14">
        <v>43.912730747316061</v>
      </c>
      <c r="M22" s="14">
        <v>43.91273074731626</v>
      </c>
    </row>
    <row r="23" spans="1:15" ht="17.25" x14ac:dyDescent="0.25">
      <c r="A23" s="21">
        <v>15</v>
      </c>
      <c r="B23" s="6">
        <v>1</v>
      </c>
      <c r="C23" s="14">
        <f>Коэффициенты!B34</f>
        <v>2900</v>
      </c>
      <c r="D23" s="14">
        <f>Коэффициенты!C34</f>
        <v>64.5</v>
      </c>
      <c r="E23" s="14">
        <f>Коэффициенты!D34</f>
        <v>53.5</v>
      </c>
      <c r="G23" s="26" t="s">
        <v>2</v>
      </c>
      <c r="H23" s="18" t="s">
        <v>9</v>
      </c>
      <c r="I23" s="18" t="s">
        <v>91</v>
      </c>
      <c r="J23" s="138" t="s">
        <v>175</v>
      </c>
      <c r="L23" s="14">
        <v>52.831709392249564</v>
      </c>
      <c r="M23" s="14">
        <v>52.831709392249472</v>
      </c>
    </row>
    <row r="24" spans="1:15" x14ac:dyDescent="0.25">
      <c r="A24" s="21">
        <v>16</v>
      </c>
      <c r="B24" s="6">
        <v>1</v>
      </c>
      <c r="C24" s="14">
        <f>Коэффициенты!B35</f>
        <v>3000</v>
      </c>
      <c r="D24" s="14">
        <f>Коэффициенты!C35</f>
        <v>66</v>
      </c>
      <c r="E24" s="14">
        <f>Коэффициенты!D35</f>
        <v>57</v>
      </c>
      <c r="G24" s="95" t="s">
        <v>79</v>
      </c>
      <c r="H24" s="136">
        <f t="array" ref="H24:H26">MMULT(G14:I16,G19:G21)</f>
        <v>48.631858695667688</v>
      </c>
      <c r="I24" s="137">
        <f>Коэффициенты!D13</f>
        <v>48.631858695670488</v>
      </c>
      <c r="J24" s="137">
        <f t="array" ref="J24:J26">MMULT(MINVERSE(MMULT(TRANSPOSE(B9:D39),(B9:D39))),MMULT(TRANSPOSE(B9:D39),(E9:E39)))</f>
        <v>48.631858695667688</v>
      </c>
      <c r="L24" s="14">
        <v>51.900103372915595</v>
      </c>
      <c r="M24" s="14">
        <v>51.90010337291578</v>
      </c>
    </row>
    <row r="25" spans="1:15" x14ac:dyDescent="0.25">
      <c r="A25" s="21">
        <v>17</v>
      </c>
      <c r="B25" s="6">
        <v>1</v>
      </c>
      <c r="C25" s="14">
        <f>Коэффициенты!B36</f>
        <v>3075</v>
      </c>
      <c r="D25" s="14">
        <f>Коэффициенты!C36</f>
        <v>57</v>
      </c>
      <c r="E25" s="14">
        <f>Коэффициенты!D36</f>
        <v>33.5</v>
      </c>
      <c r="G25" s="94" t="s">
        <v>80</v>
      </c>
      <c r="H25" s="136">
        <v>-3.1613506805673541E-2</v>
      </c>
      <c r="I25" s="137">
        <f>Коэффициенты!C13</f>
        <v>-3.161350680567377E-2</v>
      </c>
      <c r="J25" s="137">
        <v>-3.1613506805673541E-2</v>
      </c>
      <c r="L25" s="14">
        <v>36.150622395089826</v>
      </c>
      <c r="M25" s="14">
        <v>36.150622395090117</v>
      </c>
    </row>
    <row r="26" spans="1:15" x14ac:dyDescent="0.25">
      <c r="A26" s="21">
        <v>18</v>
      </c>
      <c r="B26" s="6">
        <v>1</v>
      </c>
      <c r="C26" s="14">
        <f>Коэффициенты!B37</f>
        <v>3100</v>
      </c>
      <c r="D26" s="14">
        <f>Коэффициенты!C37</f>
        <v>57.5</v>
      </c>
      <c r="E26" s="14">
        <f>Коэффициенты!D37</f>
        <v>34</v>
      </c>
      <c r="G26" s="94" t="s">
        <v>81</v>
      </c>
      <c r="H26" s="136">
        <v>1.4864964408222505</v>
      </c>
      <c r="I26" s="137">
        <f>Коэффициенты!B13</f>
        <v>1.486496440822243</v>
      </c>
      <c r="J26" s="137">
        <v>1.4864964408222505</v>
      </c>
      <c r="L26" s="14">
        <v>36.10353294535912</v>
      </c>
      <c r="M26" s="14">
        <v>36.103532945359113</v>
      </c>
    </row>
    <row r="27" spans="1:15" x14ac:dyDescent="0.25">
      <c r="A27" s="21">
        <v>19</v>
      </c>
      <c r="B27" s="6">
        <v>1</v>
      </c>
      <c r="C27" s="14">
        <f>Коэффициенты!B38</f>
        <v>3150</v>
      </c>
      <c r="D27" s="14">
        <f>Коэффициенты!C38</f>
        <v>64</v>
      </c>
      <c r="E27" s="14">
        <f>Коэффициенты!D38</f>
        <v>44</v>
      </c>
      <c r="L27" s="14">
        <v>44.185084470420065</v>
      </c>
      <c r="M27" s="14">
        <v>44.185084470420449</v>
      </c>
    </row>
    <row r="28" spans="1:15" x14ac:dyDescent="0.25">
      <c r="A28" s="21">
        <v>20</v>
      </c>
      <c r="B28" s="6">
        <v>1</v>
      </c>
      <c r="C28" s="14">
        <f>Коэффициенты!B39</f>
        <v>3200</v>
      </c>
      <c r="D28" s="14">
        <f>Коэффициенты!C39</f>
        <v>57</v>
      </c>
      <c r="E28" s="14">
        <f>Коэффициенты!D39</f>
        <v>33</v>
      </c>
      <c r="L28" s="14">
        <v>32.198934044380636</v>
      </c>
      <c r="M28" s="14">
        <v>32.198934044380991</v>
      </c>
    </row>
    <row r="29" spans="1:15" x14ac:dyDescent="0.25">
      <c r="A29" s="21">
        <v>21</v>
      </c>
      <c r="B29" s="6">
        <v>1</v>
      </c>
      <c r="C29" s="14">
        <f>Коэффициенты!B40</f>
        <v>3200</v>
      </c>
      <c r="D29" s="14">
        <f>Коэффициенты!C40</f>
        <v>64</v>
      </c>
      <c r="E29" s="14">
        <f>Коэффициенты!D40</f>
        <v>39</v>
      </c>
      <c r="L29" s="14">
        <v>42.604409130136389</v>
      </c>
      <c r="M29" s="14">
        <v>42.604409130136787</v>
      </c>
    </row>
    <row r="30" spans="1:15" x14ac:dyDescent="0.25">
      <c r="A30" s="21">
        <v>22</v>
      </c>
      <c r="B30" s="6">
        <v>1</v>
      </c>
      <c r="C30" s="14">
        <f>Коэффициенты!B41</f>
        <v>3200</v>
      </c>
      <c r="D30" s="14">
        <f>Коэффициенты!C41</f>
        <v>69</v>
      </c>
      <c r="E30" s="14">
        <f>Коэффициенты!D41</f>
        <v>53</v>
      </c>
      <c r="L30" s="14">
        <v>50.036891334247642</v>
      </c>
      <c r="M30" s="14">
        <v>50.036891334248466</v>
      </c>
    </row>
    <row r="31" spans="1:15" x14ac:dyDescent="0.25">
      <c r="A31" s="21">
        <v>23</v>
      </c>
      <c r="B31" s="6">
        <v>1</v>
      </c>
      <c r="C31" s="14">
        <f>Коэффициенты!B42</f>
        <v>3225</v>
      </c>
      <c r="D31" s="14">
        <f>Коэффициенты!C42</f>
        <v>68</v>
      </c>
      <c r="E31" s="14">
        <f>Коэффициенты!D42</f>
        <v>38.5</v>
      </c>
      <c r="L31" s="14">
        <v>47.760057223283553</v>
      </c>
      <c r="M31" s="14">
        <v>47.760057223283695</v>
      </c>
    </row>
    <row r="32" spans="1:15" x14ac:dyDescent="0.25">
      <c r="A32" s="21">
        <v>24</v>
      </c>
      <c r="B32" s="6">
        <v>1</v>
      </c>
      <c r="C32" s="14">
        <f>Коэффициенты!B43</f>
        <v>3250</v>
      </c>
      <c r="D32" s="14">
        <f>Коэффициенты!C43</f>
        <v>62</v>
      </c>
      <c r="E32" s="14">
        <f>Коэффициенты!D43</f>
        <v>39.5</v>
      </c>
      <c r="L32" s="14">
        <v>38.050740908208212</v>
      </c>
      <c r="M32" s="14">
        <v>38.050740908208702</v>
      </c>
    </row>
    <row r="33" spans="1:13" x14ac:dyDescent="0.25">
      <c r="A33" s="21">
        <v>25</v>
      </c>
      <c r="B33" s="6">
        <v>1</v>
      </c>
      <c r="C33" s="14">
        <f>Коэффициенты!B44</f>
        <v>3250</v>
      </c>
      <c r="D33" s="14">
        <f>Коэффициенты!C44</f>
        <v>64.5</v>
      </c>
      <c r="E33" s="14">
        <f>Коэффициенты!D44</f>
        <v>36</v>
      </c>
      <c r="L33" s="14">
        <v>41.766982010263831</v>
      </c>
      <c r="M33" s="14">
        <v>41.766982010263916</v>
      </c>
    </row>
    <row r="34" spans="1:13" x14ac:dyDescent="0.25">
      <c r="A34" s="21">
        <v>26</v>
      </c>
      <c r="B34" s="6">
        <v>1</v>
      </c>
      <c r="C34" s="14">
        <f>Коэффициенты!B45</f>
        <v>3250</v>
      </c>
      <c r="D34" s="14">
        <f>Коэффициенты!C45</f>
        <v>48</v>
      </c>
      <c r="E34" s="14">
        <f>Коэффициенты!D45</f>
        <v>8.5</v>
      </c>
      <c r="L34" s="14">
        <v>17.239790736696705</v>
      </c>
      <c r="M34" s="14">
        <v>17.239790736696872</v>
      </c>
    </row>
    <row r="35" spans="1:13" x14ac:dyDescent="0.25">
      <c r="A35" s="21">
        <v>27</v>
      </c>
      <c r="B35" s="6">
        <v>1</v>
      </c>
      <c r="C35" s="14">
        <f>Коэффициенты!B46</f>
        <v>3500</v>
      </c>
      <c r="D35" s="14">
        <f>Коэффициенты!C46</f>
        <v>60</v>
      </c>
      <c r="E35" s="14">
        <f>Коэффициенты!D46</f>
        <v>30</v>
      </c>
      <c r="L35" s="14">
        <v>27.17437132514533</v>
      </c>
      <c r="M35" s="14">
        <v>27.174371325145405</v>
      </c>
    </row>
    <row r="36" spans="1:13" x14ac:dyDescent="0.25">
      <c r="A36" s="21">
        <v>28</v>
      </c>
      <c r="B36" s="6">
        <v>1</v>
      </c>
      <c r="C36" s="14">
        <f>Коэффициенты!B47</f>
        <v>3500</v>
      </c>
      <c r="D36" s="14">
        <f>Коэффициенты!C47</f>
        <v>59</v>
      </c>
      <c r="E36" s="14">
        <f>Коэффициенты!D47</f>
        <v>29</v>
      </c>
      <c r="L36" s="14">
        <v>25.68787488432308</v>
      </c>
      <c r="M36" s="14">
        <v>25.6878748843232</v>
      </c>
    </row>
    <row r="37" spans="1:13" x14ac:dyDescent="0.25">
      <c r="A37" s="21">
        <v>29</v>
      </c>
      <c r="B37" s="6">
        <v>1</v>
      </c>
      <c r="C37" s="14">
        <f>Коэффициенты!B48</f>
        <v>3500</v>
      </c>
      <c r="D37" s="14">
        <f>Коэффициенты!C48</f>
        <v>58</v>
      </c>
      <c r="E37" s="14">
        <f>Коэффициенты!D48</f>
        <v>26.5</v>
      </c>
      <c r="L37" s="14">
        <v>24.201378443500829</v>
      </c>
      <c r="M37" s="14">
        <v>24.201378443501149</v>
      </c>
    </row>
    <row r="38" spans="1:13" x14ac:dyDescent="0.25">
      <c r="A38" s="21">
        <v>30</v>
      </c>
      <c r="B38" s="6">
        <v>1</v>
      </c>
      <c r="C38" s="14">
        <f>Коэффициенты!B49</f>
        <v>3600</v>
      </c>
      <c r="D38" s="14">
        <f>Коэффициенты!C49</f>
        <v>58</v>
      </c>
      <c r="E38" s="14">
        <f>Коэффициенты!D49</f>
        <v>24.5</v>
      </c>
      <c r="L38" s="14">
        <v>21.040027762933477</v>
      </c>
      <c r="M38" s="14">
        <v>21.040027762933825</v>
      </c>
    </row>
    <row r="39" spans="1:13" x14ac:dyDescent="0.25">
      <c r="A39" s="21">
        <v>31</v>
      </c>
      <c r="B39" s="6">
        <v>1</v>
      </c>
      <c r="C39" s="14">
        <f>Коэффициенты!B50</f>
        <v>3900</v>
      </c>
      <c r="D39" s="14">
        <f>Коэффициенты!C50</f>
        <v>61</v>
      </c>
      <c r="E39" s="14">
        <f>Коэффициенты!D50</f>
        <v>26.5</v>
      </c>
      <c r="L39" s="14">
        <v>16.015465043698157</v>
      </c>
      <c r="M39" s="14">
        <v>16.015465043698615</v>
      </c>
    </row>
    <row r="40" spans="1:13" x14ac:dyDescent="0.25">
      <c r="A40" s="99"/>
      <c r="B40" s="38"/>
      <c r="C40" s="39"/>
      <c r="D40" s="39"/>
      <c r="E40" s="38"/>
    </row>
  </sheetData>
  <hyperlinks>
    <hyperlink ref="A1:D1" r:id="rId1" display="Файл скачан с сайта excel2.ru &gt;&gt;&gt;"/>
    <hyperlink ref="N8" location="Прогноз!G19" display="Совпадает с вычислениями на листе Прогноз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75" customWidth="1"/>
    <col min="2" max="16384" width="9.140625" style="175" hidden="1"/>
  </cols>
  <sheetData>
    <row r="1" spans="1:7" ht="36.75" customHeight="1" x14ac:dyDescent="0.25">
      <c r="A1" s="190" t="s">
        <v>269</v>
      </c>
      <c r="B1" s="190"/>
      <c r="C1" s="190"/>
      <c r="D1" s="190"/>
      <c r="E1" s="190"/>
      <c r="F1" s="190"/>
      <c r="G1" s="190"/>
    </row>
    <row r="2" spans="1:7" ht="107.25" customHeight="1" x14ac:dyDescent="0.25">
      <c r="A2" s="176" t="s">
        <v>270</v>
      </c>
    </row>
    <row r="3" spans="1:7" ht="105" customHeight="1" x14ac:dyDescent="0.25">
      <c r="A3" s="176" t="s">
        <v>271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Коэффициенты</vt:lpstr>
      <vt:lpstr>Диагр расс (матричная)</vt:lpstr>
      <vt:lpstr>Диагр расс (в плоск регрессии)</vt:lpstr>
      <vt:lpstr>Тренд</vt:lpstr>
      <vt:lpstr>Статистика</vt:lpstr>
      <vt:lpstr>Интервалы</vt:lpstr>
      <vt:lpstr>Надстройка</vt:lpstr>
      <vt:lpstr>Матричная форма</vt:lpstr>
      <vt:lpstr>EXCEL2.RU</vt:lpstr>
      <vt:lpstr>Тренд!cz</vt:lpstr>
      <vt:lpstr>cz</vt:lpstr>
      <vt:lpstr>Тренд!sz</vt:lpstr>
      <vt:lpstr>sz</vt:lpstr>
      <vt:lpstr>Тренд!ux</vt:lpstr>
      <vt:lpstr>ux</vt:lpstr>
      <vt:lpstr>Тренд!uy</vt:lpstr>
      <vt:lpstr>uy</vt:lpstr>
      <vt:lpstr>Тренд!uz</vt:lpstr>
      <vt:lpstr>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2025-01-06T18:44:27Z</dcterms:modified>
</cp:coreProperties>
</file>