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05" windowWidth="18975" windowHeight="11895" tabRatio="825"/>
  </bookViews>
  <sheets>
    <sheet name="NPV" sheetId="23" r:id="rId1"/>
    <sheet name="EXCEL2.RU (2)" sheetId="29" state="veryHidden" r:id="rId2"/>
    <sheet name="точность" sheetId="24" r:id="rId3"/>
    <sheet name="IRR" sheetId="25" r:id="rId4"/>
    <sheet name="ПС и ЧПС" sheetId="26" r:id="rId5"/>
    <sheet name="ЧИСТНЗ" sheetId="27" r:id="rId6"/>
    <sheet name="EXCEL2.RU" sheetId="28" r:id="rId7"/>
    <sheet name="Лист7" sheetId="18" state="hidden" r:id="rId8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43" i="27" l="1"/>
  <c r="E36" i="27"/>
  <c r="E37" i="27"/>
  <c r="E38" i="27"/>
  <c r="E39" i="27"/>
  <c r="E40" i="27"/>
  <c r="F40" i="27"/>
  <c r="G40" i="27"/>
  <c r="H40" i="27"/>
  <c r="F37" i="27"/>
  <c r="G37" i="27"/>
  <c r="H37" i="27"/>
  <c r="F38" i="27"/>
  <c r="G38" i="27"/>
  <c r="H38" i="27"/>
  <c r="F39" i="27"/>
  <c r="G39" i="27"/>
  <c r="H39" i="27"/>
  <c r="F36" i="27"/>
  <c r="G36" i="27"/>
  <c r="H36" i="27"/>
  <c r="G41" i="27"/>
  <c r="E35" i="27"/>
  <c r="B24" i="27"/>
  <c r="E42" i="27"/>
  <c r="F13" i="23"/>
  <c r="E41" i="27"/>
  <c r="A27" i="27"/>
  <c r="A28" i="27"/>
  <c r="B18" i="27"/>
  <c r="F6" i="27"/>
  <c r="E5" i="27"/>
  <c r="E52" i="23"/>
  <c r="D42" i="23"/>
  <c r="D41" i="23"/>
  <c r="K14" i="27"/>
  <c r="K4" i="27"/>
  <c r="I5" i="27"/>
  <c r="I4" i="27"/>
  <c r="K6" i="27"/>
  <c r="F5" i="27"/>
  <c r="K10" i="27"/>
  <c r="K5" i="27"/>
  <c r="K12" i="27"/>
  <c r="K8" i="27"/>
  <c r="K15" i="27"/>
  <c r="K13" i="27"/>
  <c r="K11" i="27"/>
  <c r="K9" i="27"/>
  <c r="K7" i="27"/>
  <c r="L5" i="27"/>
  <c r="I14" i="27"/>
  <c r="I12" i="27"/>
  <c r="I10" i="27"/>
  <c r="I8" i="27"/>
  <c r="I6" i="27"/>
  <c r="J5" i="27"/>
  <c r="I15" i="27"/>
  <c r="I13" i="27"/>
  <c r="I11" i="27"/>
  <c r="I9" i="27"/>
  <c r="I7" i="27"/>
  <c r="E6" i="27"/>
  <c r="E7" i="27"/>
  <c r="F7" i="27"/>
  <c r="E8" i="27"/>
  <c r="F8" i="27"/>
  <c r="E9" i="27"/>
  <c r="F9" i="27"/>
  <c r="E10" i="27"/>
  <c r="F10" i="27"/>
  <c r="E11" i="27"/>
  <c r="F11" i="27"/>
  <c r="E12" i="27"/>
  <c r="F12" i="27"/>
  <c r="E13" i="27"/>
  <c r="F13" i="27"/>
  <c r="E14" i="27"/>
  <c r="F14" i="27"/>
  <c r="E15" i="27"/>
  <c r="F15" i="27"/>
  <c r="E4" i="27"/>
  <c r="B23" i="27"/>
  <c r="B20" i="26"/>
  <c r="B19" i="26"/>
  <c r="B16" i="25"/>
  <c r="C22" i="25"/>
  <c r="B22" i="25"/>
  <c r="B15" i="25"/>
  <c r="I26" i="24"/>
  <c r="I25" i="24"/>
  <c r="I23" i="24"/>
  <c r="I24" i="24"/>
  <c r="D27" i="24"/>
  <c r="D28" i="24"/>
  <c r="D26" i="24"/>
  <c r="G26" i="24"/>
  <c r="F26" i="24"/>
  <c r="E26" i="24"/>
  <c r="B14" i="24"/>
  <c r="B10" i="24"/>
  <c r="D24" i="24"/>
  <c r="E24" i="24"/>
  <c r="D21" i="24"/>
  <c r="F21" i="24"/>
  <c r="G21" i="24"/>
  <c r="E21" i="24"/>
  <c r="D23" i="24"/>
  <c r="D22" i="24"/>
  <c r="F16" i="24"/>
  <c r="G16" i="24"/>
  <c r="B16" i="24"/>
  <c r="F14" i="24"/>
  <c r="G14" i="24"/>
  <c r="F15" i="24"/>
  <c r="G15" i="24"/>
  <c r="B15" i="24"/>
  <c r="G11" i="24"/>
  <c r="B11" i="24"/>
  <c r="G12" i="24"/>
  <c r="B12" i="24"/>
  <c r="G13" i="24"/>
  <c r="B13" i="24"/>
  <c r="G10" i="24"/>
  <c r="F11" i="24"/>
  <c r="F12" i="24"/>
  <c r="F13" i="24"/>
  <c r="F10" i="24"/>
  <c r="L14" i="27"/>
  <c r="L15" i="27"/>
  <c r="L6" i="27"/>
  <c r="L10" i="27"/>
  <c r="L9" i="27"/>
  <c r="L8" i="27"/>
  <c r="L12" i="27"/>
  <c r="L11" i="27"/>
  <c r="L7" i="27"/>
  <c r="L13" i="27"/>
  <c r="G5" i="27"/>
  <c r="G15" i="27"/>
  <c r="G16" i="27"/>
  <c r="G14" i="27"/>
  <c r="G13" i="27"/>
  <c r="G12" i="27"/>
  <c r="G11" i="27"/>
  <c r="G10" i="27"/>
  <c r="G9" i="27"/>
  <c r="G8" i="27"/>
  <c r="G7" i="27"/>
  <c r="G6" i="27"/>
  <c r="J8" i="27"/>
  <c r="J10" i="27"/>
  <c r="J6" i="27"/>
  <c r="J14" i="27"/>
  <c r="J7" i="27"/>
  <c r="J11" i="27"/>
  <c r="J15" i="27"/>
  <c r="J12" i="27"/>
  <c r="J9" i="27"/>
  <c r="J13" i="27"/>
  <c r="B22" i="27"/>
  <c r="D29" i="24"/>
  <c r="F23" i="24"/>
  <c r="E28" i="24"/>
  <c r="F22" i="24"/>
  <c r="E27" i="24"/>
  <c r="F27" i="24"/>
  <c r="F24" i="24"/>
  <c r="E29" i="24"/>
  <c r="F29" i="24"/>
  <c r="G24" i="24"/>
  <c r="G23" i="24"/>
  <c r="E23" i="24"/>
  <c r="F28" i="24"/>
  <c r="G28" i="24"/>
  <c r="E22" i="24"/>
  <c r="G22" i="24"/>
  <c r="G27" i="24"/>
  <c r="B18" i="24"/>
  <c r="B7" i="23"/>
  <c r="C35" i="23"/>
  <c r="E54" i="23"/>
  <c r="E56" i="23"/>
  <c r="E58" i="23"/>
  <c r="E60" i="23"/>
  <c r="E62" i="23"/>
  <c r="E64" i="23"/>
  <c r="D45" i="23"/>
  <c r="D47" i="23"/>
  <c r="D49" i="23"/>
  <c r="D51" i="23"/>
  <c r="C58" i="23"/>
  <c r="E55" i="23"/>
  <c r="E57" i="23"/>
  <c r="E59" i="23"/>
  <c r="E61" i="23"/>
  <c r="E63" i="23"/>
  <c r="E53" i="23"/>
  <c r="E65" i="23"/>
  <c r="D44" i="23"/>
  <c r="D46" i="23"/>
  <c r="D48" i="23"/>
  <c r="D50" i="23"/>
  <c r="D52" i="23"/>
  <c r="D43" i="23"/>
  <c r="C57" i="23"/>
  <c r="D53" i="23"/>
  <c r="G29" i="24"/>
  <c r="C11" i="23"/>
  <c r="C13" i="23"/>
  <c r="C15" i="23"/>
  <c r="C17" i="23"/>
  <c r="C19" i="23"/>
  <c r="C21" i="23"/>
  <c r="C23" i="23"/>
  <c r="C25" i="23"/>
  <c r="C27" i="23"/>
  <c r="C29" i="23"/>
  <c r="C31" i="23"/>
  <c r="C33" i="23"/>
  <c r="C10" i="23"/>
  <c r="C12" i="23"/>
  <c r="C14" i="23"/>
  <c r="C16" i="23"/>
  <c r="C18" i="23"/>
  <c r="C20" i="23"/>
  <c r="C22" i="23"/>
  <c r="C24" i="23"/>
  <c r="C26" i="23"/>
  <c r="C28" i="23"/>
  <c r="C30" i="23"/>
  <c r="C32" i="23"/>
  <c r="C34" i="23"/>
  <c r="D54" i="23"/>
</calcChain>
</file>

<file path=xl/sharedStrings.xml><?xml version="1.0" encoding="utf-8"?>
<sst xmlns="http://schemas.openxmlformats.org/spreadsheetml/2006/main" count="108" uniqueCount="74">
  <si>
    <t>Названия строк</t>
  </si>
  <si>
    <t>Названия столбцов</t>
  </si>
  <si>
    <t>Значения</t>
  </si>
  <si>
    <t>Фильтр отчета</t>
  </si>
  <si>
    <t>Месяц</t>
  </si>
  <si>
    <t>Сумма</t>
  </si>
  <si>
    <t>Дисконтированная сумма</t>
  </si>
  <si>
    <t>Первый год - денежные потоки ежемесячные, 2-й год - ежеквартальные</t>
  </si>
  <si>
    <t>Ставка дисконтирования</t>
  </si>
  <si>
    <t>годовых</t>
  </si>
  <si>
    <t>Период</t>
  </si>
  <si>
    <t>месяц</t>
  </si>
  <si>
    <t>Ставка за период</t>
  </si>
  <si>
    <t>NPV - формула</t>
  </si>
  <si>
    <t>NPV - функция ЧПС()</t>
  </si>
  <si>
    <t>Дисконтирование на дату первой инвестиции</t>
  </si>
  <si>
    <t>Год</t>
  </si>
  <si>
    <t>NPV</t>
  </si>
  <si>
    <t>Дисконтировано на дату первого платежа</t>
  </si>
  <si>
    <t>Годовая ставка</t>
  </si>
  <si>
    <t>Связь точности определения ставки дисконтирования и сумм денежных потоков</t>
  </si>
  <si>
    <t>Базовый</t>
  </si>
  <si>
    <t>Пессимистический</t>
  </si>
  <si>
    <t>Оптимистический</t>
  </si>
  <si>
    <t>Сценарий</t>
  </si>
  <si>
    <t>Точность прогноза +/-</t>
  </si>
  <si>
    <t>Прогноз поступления в 4-10 годы</t>
  </si>
  <si>
    <t>Разброс NPV при разных ставках дисконтирования</t>
  </si>
  <si>
    <t>Разброс</t>
  </si>
  <si>
    <t>Пересечение</t>
  </si>
  <si>
    <t>% пересечения</t>
  </si>
  <si>
    <t>Снижение NPV</t>
  </si>
  <si>
    <t>Расчет IRR с помощью Подбора параметра</t>
  </si>
  <si>
    <t>IRR</t>
  </si>
  <si>
    <t>Ставка</t>
  </si>
  <si>
    <t>через ЧПС</t>
  </si>
  <si>
    <t>через ПС</t>
  </si>
  <si>
    <t>Расчет NPV при постоянных денежных потоках с помощью функции ПС()</t>
  </si>
  <si>
    <t>Расчет приведенной стоимости платежей, осуществляемых за любые промежутки времени</t>
  </si>
  <si>
    <t>Дата</t>
  </si>
  <si>
    <t>№</t>
  </si>
  <si>
    <t>ЧИСТНЗ</t>
  </si>
  <si>
    <t>ЧПС</t>
  </si>
  <si>
    <t>Дисконтировано на:</t>
  </si>
  <si>
    <t>Дата платежа</t>
  </si>
  <si>
    <t>на дату первой инвестиции (на 31 января 2010)</t>
  </si>
  <si>
    <t>на дату, которая ранее на 1 период, чем дата первой инвестиции, т.е. на 1 января 2010</t>
  </si>
  <si>
    <t>Разница</t>
  </si>
  <si>
    <t>годовая для ЧИСТНЗ()</t>
  </si>
  <si>
    <t>за период для ЧПС()</t>
  </si>
  <si>
    <t>через ЧПС()</t>
  </si>
  <si>
    <t>через ЧИСТНЗ()</t>
  </si>
  <si>
    <t>ЧИСТВНДОХ</t>
  </si>
  <si>
    <t>Альтернатиная запись аргументов для ЧПС()</t>
  </si>
  <si>
    <t>Год1</t>
  </si>
  <si>
    <t>Год2</t>
  </si>
  <si>
    <t>Расчеты формулами (через приведенную стоимость)</t>
  </si>
  <si>
    <t>Приведенная стоимость</t>
  </si>
  <si>
    <t>Проверка</t>
  </si>
  <si>
    <t>Расчет годовой ставки, при которой ЧИСТНЗ() = 0</t>
  </si>
  <si>
    <t>Расчеты с периодом =1 году</t>
  </si>
  <si>
    <t>расчет через ЧПС()</t>
  </si>
  <si>
    <t>Внутренняя ставка доходности IRR</t>
  </si>
  <si>
    <t>ЧИСТВНДОХ()</t>
  </si>
  <si>
    <t>расчет через ЧИСТНЗ()</t>
  </si>
  <si>
    <t>Дисконтирование (ЧПС)</t>
  </si>
  <si>
    <t>ЧИСТНЗ()</t>
  </si>
  <si>
    <t>т.к. 2012г. - високосный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</si>
  <si>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</si>
  <si>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</si>
  <si>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</si>
  <si>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</si>
  <si>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</si>
  <si>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Чистая приведенная стоимость NPV (ЧПС) и внутренняя ставка доходности IRR (ВСД)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</si>
</sst>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&quot;р.&quot;;[Red]\-#,##0.00&quot;р.&quot;"/>
    <numFmt numFmtId="164" formatCode="_(&quot;$&quot;* #,##0.00_);_(&quot;$&quot;* \(#,##0.00\);_(&quot;$&quot;* &quot;-&quot;??_);_(@_)"/>
    <numFmt numFmtId="165" formatCode="0.0%"/>
    <numFmt numFmtId="166" formatCode="0.00000%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10" fillId="0" borderId="0"/>
    <xf numFmtId="0" fontId="11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0" xfId="1"/>
    <xf numFmtId="0" fontId="1" fillId="0" borderId="0" xfId="0" applyFont="1"/>
    <xf numFmtId="0" fontId="0" fillId="0" borderId="12" xfId="0" applyBorder="1"/>
    <xf numFmtId="9" fontId="0" fillId="0" borderId="12" xfId="0" applyNumberFormat="1" applyBorder="1"/>
    <xf numFmtId="8" fontId="0" fillId="0" borderId="0" xfId="0" applyNumberFormat="1"/>
    <xf numFmtId="8" fontId="0" fillId="0" borderId="12" xfId="0" applyNumberFormat="1" applyBorder="1"/>
    <xf numFmtId="4" fontId="0" fillId="0" borderId="12" xfId="0" applyNumberFormat="1" applyBorder="1"/>
    <xf numFmtId="0" fontId="1" fillId="0" borderId="12" xfId="0" applyFont="1" applyBorder="1" applyAlignment="1">
      <alignment wrapText="1"/>
    </xf>
    <xf numFmtId="0" fontId="0" fillId="0" borderId="13" xfId="0" applyBorder="1"/>
    <xf numFmtId="4" fontId="0" fillId="0" borderId="13" xfId="0" applyNumberFormat="1" applyBorder="1"/>
    <xf numFmtId="0" fontId="1" fillId="0" borderId="16" xfId="0" applyFont="1" applyBorder="1" applyAlignment="1">
      <alignment wrapText="1"/>
    </xf>
    <xf numFmtId="0" fontId="0" fillId="0" borderId="17" xfId="0" applyBorder="1"/>
    <xf numFmtId="4" fontId="0" fillId="0" borderId="18" xfId="0" applyNumberFormat="1" applyBorder="1"/>
    <xf numFmtId="0" fontId="0" fillId="0" borderId="19" xfId="0" applyBorder="1"/>
    <xf numFmtId="4" fontId="0" fillId="0" borderId="20" xfId="0" applyNumberFormat="1" applyBorder="1"/>
    <xf numFmtId="4" fontId="0" fillId="0" borderId="21" xfId="0" applyNumberFormat="1" applyBorder="1"/>
    <xf numFmtId="0" fontId="0" fillId="0" borderId="20" xfId="0" applyBorder="1"/>
    <xf numFmtId="4" fontId="1" fillId="2" borderId="13" xfId="0" applyNumberFormat="1" applyFont="1" applyFill="1" applyBorder="1"/>
    <xf numFmtId="1" fontId="0" fillId="0" borderId="12" xfId="0" applyNumberFormat="1" applyBorder="1"/>
    <xf numFmtId="10" fontId="0" fillId="0" borderId="12" xfId="0" applyNumberFormat="1" applyBorder="1"/>
    <xf numFmtId="8" fontId="1" fillId="0" borderId="12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Fill="1" applyBorder="1"/>
    <xf numFmtId="0" fontId="1" fillId="0" borderId="12" xfId="0" applyFont="1" applyBorder="1"/>
    <xf numFmtId="0" fontId="0" fillId="3" borderId="12" xfId="0" applyFill="1" applyBorder="1"/>
    <xf numFmtId="4" fontId="0" fillId="3" borderId="12" xfId="0" applyNumberFormat="1" applyFill="1" applyBorder="1"/>
    <xf numFmtId="9" fontId="0" fillId="4" borderId="12" xfId="0" applyNumberFormat="1" applyFill="1" applyBorder="1"/>
    <xf numFmtId="0" fontId="1" fillId="0" borderId="0" xfId="0" applyFont="1" applyBorder="1" applyAlignment="1">
      <alignment wrapText="1"/>
    </xf>
    <xf numFmtId="10" fontId="0" fillId="0" borderId="0" xfId="0" applyNumberFormat="1" applyBorder="1"/>
    <xf numFmtId="0" fontId="0" fillId="0" borderId="0" xfId="0" applyBorder="1"/>
    <xf numFmtId="10" fontId="0" fillId="4" borderId="12" xfId="0" applyNumberFormat="1" applyFill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/>
    <xf numFmtId="9" fontId="0" fillId="0" borderId="12" xfId="0" applyNumberFormat="1" applyBorder="1" applyAlignment="1"/>
    <xf numFmtId="0" fontId="1" fillId="0" borderId="0" xfId="0" applyFont="1" applyBorder="1"/>
    <xf numFmtId="4" fontId="0" fillId="0" borderId="0" xfId="0" applyNumberFormat="1" applyBorder="1"/>
    <xf numFmtId="9" fontId="0" fillId="0" borderId="0" xfId="5" applyFont="1"/>
    <xf numFmtId="3" fontId="0" fillId="0" borderId="0" xfId="0" applyNumberFormat="1"/>
    <xf numFmtId="4" fontId="0" fillId="0" borderId="0" xfId="0" applyNumberFormat="1"/>
    <xf numFmtId="9" fontId="0" fillId="0" borderId="12" xfId="5" applyFont="1" applyBorder="1"/>
    <xf numFmtId="0" fontId="0" fillId="0" borderId="12" xfId="0" applyFill="1" applyBorder="1"/>
    <xf numFmtId="166" fontId="1" fillId="0" borderId="12" xfId="0" applyNumberFormat="1" applyFont="1" applyBorder="1"/>
    <xf numFmtId="166" fontId="0" fillId="0" borderId="12" xfId="5" applyNumberFormat="1" applyFont="1" applyBorder="1"/>
    <xf numFmtId="165" fontId="1" fillId="0" borderId="0" xfId="0" applyNumberFormat="1" applyFont="1" applyBorder="1"/>
    <xf numFmtId="165" fontId="0" fillId="0" borderId="12" xfId="0" applyNumberFormat="1" applyFont="1" applyBorder="1"/>
    <xf numFmtId="14" fontId="0" fillId="0" borderId="12" xfId="0" applyNumberFormat="1" applyBorder="1"/>
    <xf numFmtId="10" fontId="1" fillId="0" borderId="0" xfId="5" applyNumberFormat="1" applyFont="1" applyBorder="1"/>
    <xf numFmtId="15" fontId="0" fillId="0" borderId="12" xfId="0" applyNumberFormat="1" applyBorder="1"/>
    <xf numFmtId="4" fontId="1" fillId="0" borderId="12" xfId="0" applyNumberFormat="1" applyFont="1" applyBorder="1"/>
    <xf numFmtId="4" fontId="1" fillId="0" borderId="12" xfId="0" applyNumberFormat="1" applyFont="1" applyBorder="1" applyAlignment="1">
      <alignment wrapText="1"/>
    </xf>
    <xf numFmtId="0" fontId="1" fillId="0" borderId="12" xfId="0" applyFont="1" applyBorder="1" applyAlignment="1">
      <alignment vertical="top" wrapText="1"/>
    </xf>
    <xf numFmtId="4" fontId="1" fillId="0" borderId="12" xfId="0" applyNumberFormat="1" applyFont="1" applyBorder="1" applyAlignment="1">
      <alignment vertical="top" wrapText="1"/>
    </xf>
    <xf numFmtId="10" fontId="1" fillId="0" borderId="12" xfId="5" applyNumberFormat="1" applyFont="1" applyFill="1" applyBorder="1"/>
    <xf numFmtId="0" fontId="1" fillId="0" borderId="1" xfId="0" applyFont="1" applyBorder="1"/>
    <xf numFmtId="10" fontId="1" fillId="0" borderId="12" xfId="5" applyNumberFormat="1" applyFont="1" applyBorder="1"/>
    <xf numFmtId="0" fontId="1" fillId="0" borderId="12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4" fontId="1" fillId="5" borderId="12" xfId="0" applyNumberFormat="1" applyFont="1" applyFill="1" applyBorder="1"/>
    <xf numFmtId="0" fontId="1" fillId="0" borderId="12" xfId="0" applyFont="1" applyBorder="1" applyAlignment="1">
      <alignment horizontal="center"/>
    </xf>
    <xf numFmtId="9" fontId="1" fillId="0" borderId="12" xfId="5" applyFont="1" applyBorder="1"/>
    <xf numFmtId="2" fontId="1" fillId="0" borderId="12" xfId="0" applyNumberFormat="1" applyFont="1" applyBorder="1"/>
    <xf numFmtId="0" fontId="7" fillId="0" borderId="12" xfId="0" applyFont="1" applyBorder="1"/>
    <xf numFmtId="0" fontId="9" fillId="7" borderId="0" xfId="1" applyFont="1" applyFill="1" applyAlignment="1">
      <alignment vertical="center" wrapText="1"/>
    </xf>
    <xf numFmtId="0" fontId="8" fillId="6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6" borderId="0" xfId="8" applyFont="1" applyFill="1" applyAlignment="1" applyProtection="1">
      <alignment vertical="center"/>
    </xf>
    <xf numFmtId="0" fontId="12" fillId="8" borderId="0" xfId="0" applyFont="1" applyFill="1" applyAlignment="1"/>
    <xf numFmtId="0" fontId="13" fillId="8" borderId="0" xfId="0" applyFont="1" applyFill="1" applyAlignment="1">
      <alignment vertical="center"/>
    </xf>
    <xf numFmtId="0" fontId="5" fillId="8" borderId="0" xfId="4" applyFill="1" applyAlignment="1" applyProtection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7"/>
    <cellStyle name="Процентный" xfId="5" builtinId="5"/>
  </cellStyles>
  <dxfs count="4">
    <dxf>
      <font>
        <b/>
        <i val="0"/>
      </font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strRef>
          <c:f>точность!$D$20</c:f>
          <c:strCache>
            <c:ptCount val="1"/>
            <c:pt idx="0">
              <c:v>Разброс NPV при разных ставках дисконтирования</c:v>
            </c:pt>
          </c:strCache>
        </c:strRef>
      </c:tx>
      <c:layout>
        <c:manualLayout>
          <c:xMode val="edge"/>
          <c:yMode val="edge"/>
          <c:x val="0.23800699912510936"/>
          <c:y val="4.1964717795533596E-2"/>
        </c:manualLayout>
      </c:layout>
      <c:overlay val="1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228740157480314"/>
          <c:y val="9.9920380765801398E-2"/>
          <c:w val="0.78715704286964128"/>
          <c:h val="0.796485953609865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точность!$E$26</c:f>
              <c:strCache>
                <c:ptCount val="1"/>
                <c:pt idx="0">
                  <c:v>Пессимистический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numRef>
              <c:f>точность!$D$27:$D$29</c:f>
              <c:numCache>
                <c:formatCode>0%</c:formatCode>
                <c:ptCount val="3"/>
                <c:pt idx="0">
                  <c:v>0.1</c:v>
                </c:pt>
                <c:pt idx="1">
                  <c:v>0.12</c:v>
                </c:pt>
                <c:pt idx="2">
                  <c:v>0.14000000000000001</c:v>
                </c:pt>
              </c:numCache>
            </c:numRef>
          </c:cat>
          <c:val>
            <c:numRef>
              <c:f>точность!$E$27:$E$29</c:f>
              <c:numCache>
                <c:formatCode>#,##0</c:formatCode>
                <c:ptCount val="3"/>
                <c:pt idx="0">
                  <c:v>863658.88512833742</c:v>
                </c:pt>
                <c:pt idx="1">
                  <c:v>706463.194149744</c:v>
                </c:pt>
                <c:pt idx="2">
                  <c:v>565658.5365804052</c:v>
                </c:pt>
              </c:numCache>
            </c:numRef>
          </c:val>
        </c:ser>
        <c:ser>
          <c:idx val="2"/>
          <c:order val="1"/>
          <c:tx>
            <c:strRef>
              <c:f>точность!$F$26</c:f>
              <c:strCache>
                <c:ptCount val="1"/>
                <c:pt idx="0">
                  <c:v>Базовый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numRef>
              <c:f>точность!$D$27:$D$29</c:f>
              <c:numCache>
                <c:formatCode>0%</c:formatCode>
                <c:ptCount val="3"/>
                <c:pt idx="0">
                  <c:v>0.1</c:v>
                </c:pt>
                <c:pt idx="1">
                  <c:v>0.12</c:v>
                </c:pt>
                <c:pt idx="2">
                  <c:v>0.14000000000000001</c:v>
                </c:pt>
              </c:numCache>
            </c:numRef>
          </c:cat>
          <c:val>
            <c:numRef>
              <c:f>точность!$F$27:$F$29</c:f>
              <c:numCache>
                <c:formatCode>#,##0</c:formatCode>
                <c:ptCount val="3"/>
                <c:pt idx="0">
                  <c:v>402348.66261925083</c:v>
                </c:pt>
                <c:pt idx="1">
                  <c:v>363819.87714120024</c:v>
                </c:pt>
                <c:pt idx="2">
                  <c:v>329971.13258482399</c:v>
                </c:pt>
              </c:numCache>
            </c:numRef>
          </c:val>
        </c:ser>
        <c:ser>
          <c:idx val="3"/>
          <c:order val="2"/>
          <c:tx>
            <c:strRef>
              <c:f>точность!$G$26</c:f>
              <c:strCache>
                <c:ptCount val="1"/>
                <c:pt idx="0">
                  <c:v>Оптимистический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numRef>
              <c:f>точность!$D$27:$D$29</c:f>
              <c:numCache>
                <c:formatCode>0%</c:formatCode>
                <c:ptCount val="3"/>
                <c:pt idx="0">
                  <c:v>0.1</c:v>
                </c:pt>
                <c:pt idx="1">
                  <c:v>0.12</c:v>
                </c:pt>
                <c:pt idx="2">
                  <c:v>0.14000000000000001</c:v>
                </c:pt>
              </c:numCache>
            </c:numRef>
          </c:cat>
          <c:val>
            <c:numRef>
              <c:f>точность!$G$27:$G$29</c:f>
              <c:numCache>
                <c:formatCode>#,##0</c:formatCode>
                <c:ptCount val="3"/>
                <c:pt idx="0">
                  <c:v>402348.6626192499</c:v>
                </c:pt>
                <c:pt idx="1">
                  <c:v>363819.87714120047</c:v>
                </c:pt>
                <c:pt idx="2">
                  <c:v>329971.13258482399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overlap val="100"/>
        <c:axId val="126155392"/>
        <c:axId val="128196992"/>
      </c:barChart>
      <c:catAx>
        <c:axId val="12615539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128196992"/>
        <c:crosses val="autoZero"/>
        <c:auto val="1"/>
        <c:lblAlgn val="ctr"/>
        <c:lblOffset val="100"/>
        <c:noMultiLvlLbl val="0"/>
      </c:catAx>
      <c:valAx>
        <c:axId val="128196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2615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24</xdr:row>
      <xdr:rowOff>152400</xdr:rowOff>
    </xdr:from>
    <xdr:to>
      <xdr:col>7</xdr:col>
      <xdr:colOff>457200</xdr:colOff>
      <xdr:row>47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chistaya-privedennaya-stoimost-npv-chps-i-vnutrennyaya-stavka-dohodnosti-irr-vsd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65"/>
  <sheetViews>
    <sheetView tabSelected="1" workbookViewId="0">
      <selection activeCell="E5" sqref="E5"/>
    </sheetView>
  </sheetViews>
  <sheetFormatPr defaultRowHeight="15" x14ac:dyDescent="0.25"/>
  <cols>
    <col min="1" max="1" width="17.5703125" customWidth="1"/>
    <col min="2" max="2" width="14.7109375" customWidth="1"/>
    <col min="3" max="3" width="14" customWidth="1"/>
    <col min="4" max="4" width="16.7109375" customWidth="1"/>
    <col min="5" max="5" width="25" customWidth="1"/>
    <col min="6" max="6" width="12.140625" bestFit="1" customWidth="1"/>
    <col min="7" max="7" width="13.140625" customWidth="1"/>
    <col min="8" max="17" width="10" bestFit="1" customWidth="1"/>
    <col min="270" max="270" width="10" customWidth="1"/>
    <col min="351" max="351" width="8.5703125" customWidth="1"/>
  </cols>
  <sheetData>
    <row r="1" spans="1:17" ht="26.25" x14ac:dyDescent="0.25">
      <c r="A1" s="86" t="s">
        <v>71</v>
      </c>
      <c r="B1" s="86"/>
      <c r="C1" s="86"/>
      <c r="D1" s="86"/>
      <c r="E1" s="86"/>
      <c r="F1" s="86"/>
      <c r="G1" s="86"/>
    </row>
    <row r="2" spans="1:17" ht="15.75" x14ac:dyDescent="0.25">
      <c r="A2" s="89" t="s">
        <v>72</v>
      </c>
      <c r="B2" s="87"/>
      <c r="C2" s="87"/>
      <c r="D2" s="87"/>
      <c r="E2" s="87"/>
      <c r="F2" s="87"/>
      <c r="G2" s="87"/>
    </row>
    <row r="3" spans="1:17" ht="18.75" x14ac:dyDescent="0.25">
      <c r="A3" s="88" t="s">
        <v>73</v>
      </c>
      <c r="B3" s="88"/>
      <c r="C3" s="88"/>
      <c r="D3" s="88"/>
      <c r="E3" s="88"/>
      <c r="F3" s="88"/>
      <c r="G3" s="88"/>
    </row>
    <row r="4" spans="1:17" x14ac:dyDescent="0.25">
      <c r="A4" t="s">
        <v>7</v>
      </c>
      <c r="B4" s="5"/>
      <c r="C4" s="5"/>
    </row>
    <row r="5" spans="1:17" ht="30" x14ac:dyDescent="0.25">
      <c r="A5" s="8" t="s">
        <v>8</v>
      </c>
      <c r="B5" s="4">
        <v>0.1</v>
      </c>
      <c r="C5" s="6" t="s">
        <v>9</v>
      </c>
    </row>
    <row r="6" spans="1:17" x14ac:dyDescent="0.25">
      <c r="A6" s="24" t="s">
        <v>10</v>
      </c>
      <c r="B6" s="19">
        <v>1</v>
      </c>
      <c r="C6" s="6" t="s">
        <v>11</v>
      </c>
    </row>
    <row r="7" spans="1:17" x14ac:dyDescent="0.25">
      <c r="A7" s="8" t="s">
        <v>12</v>
      </c>
      <c r="B7" s="20">
        <f>B5/12*B6</f>
        <v>8.3333333333333332E-3</v>
      </c>
      <c r="C7" s="3"/>
    </row>
    <row r="8" spans="1:17" ht="15.75" thickBot="1" x14ac:dyDescent="0.3">
      <c r="E8" t="s">
        <v>53</v>
      </c>
    </row>
    <row r="9" spans="1:17" ht="30" x14ac:dyDescent="0.25">
      <c r="A9" s="59" t="s">
        <v>4</v>
      </c>
      <c r="B9" s="60" t="s">
        <v>5</v>
      </c>
      <c r="C9" s="11" t="s">
        <v>6</v>
      </c>
      <c r="D9" s="5"/>
      <c r="E9" s="25" t="s">
        <v>4</v>
      </c>
      <c r="F9" s="62">
        <v>1</v>
      </c>
      <c r="G9" s="62">
        <v>2</v>
      </c>
      <c r="H9" s="62">
        <v>3</v>
      </c>
      <c r="I9" s="62">
        <v>4</v>
      </c>
      <c r="J9" s="62">
        <v>5</v>
      </c>
      <c r="K9" s="62">
        <v>6</v>
      </c>
      <c r="L9" s="62">
        <v>7</v>
      </c>
      <c r="M9" s="62">
        <v>8</v>
      </c>
      <c r="N9" s="62">
        <v>9</v>
      </c>
      <c r="O9" s="62">
        <v>10</v>
      </c>
      <c r="P9" s="62">
        <v>11</v>
      </c>
      <c r="Q9" s="62">
        <v>12</v>
      </c>
    </row>
    <row r="10" spans="1:17" x14ac:dyDescent="0.25">
      <c r="A10" s="12">
        <v>1</v>
      </c>
      <c r="B10" s="7">
        <v>-1000000</v>
      </c>
      <c r="C10" s="13">
        <f>B10/(1+$B$7)^A10</f>
        <v>-991735.53719008272</v>
      </c>
      <c r="E10" s="25" t="s">
        <v>54</v>
      </c>
      <c r="F10" s="7">
        <v>-1000000</v>
      </c>
      <c r="G10" s="7">
        <v>-500000</v>
      </c>
      <c r="H10" s="7">
        <v>100000</v>
      </c>
      <c r="I10" s="7">
        <v>100000</v>
      </c>
      <c r="J10" s="7">
        <v>100000</v>
      </c>
      <c r="K10" s="7">
        <v>100000</v>
      </c>
      <c r="L10" s="7">
        <v>100000</v>
      </c>
      <c r="M10" s="7">
        <v>100000</v>
      </c>
      <c r="N10" s="7">
        <v>100000</v>
      </c>
      <c r="O10" s="7">
        <v>100000</v>
      </c>
      <c r="P10" s="7">
        <v>100000</v>
      </c>
      <c r="Q10" s="7">
        <v>100000</v>
      </c>
    </row>
    <row r="11" spans="1:17" x14ac:dyDescent="0.25">
      <c r="A11" s="12">
        <v>2</v>
      </c>
      <c r="B11" s="7">
        <v>-500000</v>
      </c>
      <c r="C11" s="13">
        <f t="shared" ref="C11:C33" si="0">B11/(1+$B$7)^A11</f>
        <v>-491769.6878628509</v>
      </c>
      <c r="E11" s="25" t="s">
        <v>55</v>
      </c>
      <c r="F11" s="7">
        <v>0</v>
      </c>
      <c r="G11" s="7">
        <v>0</v>
      </c>
      <c r="H11" s="7">
        <v>400000</v>
      </c>
      <c r="I11" s="7">
        <v>0</v>
      </c>
      <c r="J11" s="7">
        <v>0</v>
      </c>
      <c r="K11" s="7">
        <v>500000</v>
      </c>
      <c r="L11" s="7">
        <v>0</v>
      </c>
      <c r="M11" s="7">
        <v>0</v>
      </c>
      <c r="N11" s="7">
        <v>400000</v>
      </c>
      <c r="O11" s="7">
        <v>0</v>
      </c>
      <c r="P11" s="7">
        <v>0</v>
      </c>
      <c r="Q11" s="7">
        <v>300000</v>
      </c>
    </row>
    <row r="12" spans="1:17" x14ac:dyDescent="0.25">
      <c r="A12" s="12">
        <v>3</v>
      </c>
      <c r="B12" s="7">
        <v>100000</v>
      </c>
      <c r="C12" s="13">
        <f t="shared" si="0"/>
        <v>97541.095113292758</v>
      </c>
    </row>
    <row r="13" spans="1:17" x14ac:dyDescent="0.25">
      <c r="A13" s="12">
        <v>4</v>
      </c>
      <c r="B13" s="7">
        <v>100000</v>
      </c>
      <c r="C13" s="13">
        <f t="shared" si="0"/>
        <v>96734.970360290332</v>
      </c>
      <c r="E13" s="22" t="s">
        <v>14</v>
      </c>
      <c r="F13" s="21">
        <f>NPV(B7,F10:Q11)</f>
        <v>822070.5799791849</v>
      </c>
    </row>
    <row r="14" spans="1:17" x14ac:dyDescent="0.25">
      <c r="A14" s="12">
        <v>5</v>
      </c>
      <c r="B14" s="7">
        <v>100000</v>
      </c>
      <c r="C14" s="13">
        <f t="shared" si="0"/>
        <v>95935.507795329264</v>
      </c>
    </row>
    <row r="15" spans="1:17" x14ac:dyDescent="0.25">
      <c r="A15" s="12">
        <v>6</v>
      </c>
      <c r="B15" s="7">
        <v>100000</v>
      </c>
      <c r="C15" s="13">
        <f t="shared" si="0"/>
        <v>95142.652359004234</v>
      </c>
    </row>
    <row r="16" spans="1:17" x14ac:dyDescent="0.25">
      <c r="A16" s="12">
        <v>7</v>
      </c>
      <c r="B16" s="7">
        <v>100000</v>
      </c>
      <c r="C16" s="13">
        <f t="shared" si="0"/>
        <v>94356.349446946362</v>
      </c>
    </row>
    <row r="17" spans="1:4" x14ac:dyDescent="0.25">
      <c r="A17" s="12">
        <v>8</v>
      </c>
      <c r="B17" s="7">
        <v>100000</v>
      </c>
      <c r="C17" s="13">
        <f t="shared" si="0"/>
        <v>93576.544906062496</v>
      </c>
    </row>
    <row r="18" spans="1:4" x14ac:dyDescent="0.25">
      <c r="A18" s="12">
        <v>9</v>
      </c>
      <c r="B18" s="7">
        <v>100000</v>
      </c>
      <c r="C18" s="13">
        <f t="shared" si="0"/>
        <v>92803.185030805791</v>
      </c>
    </row>
    <row r="19" spans="1:4" x14ac:dyDescent="0.25">
      <c r="A19" s="12">
        <v>10</v>
      </c>
      <c r="B19" s="7">
        <v>100000</v>
      </c>
      <c r="C19" s="13">
        <f t="shared" si="0"/>
        <v>92036.216559476816</v>
      </c>
    </row>
    <row r="20" spans="1:4" x14ac:dyDescent="0.25">
      <c r="A20" s="12">
        <v>11</v>
      </c>
      <c r="B20" s="7">
        <v>100000</v>
      </c>
      <c r="C20" s="13">
        <f t="shared" si="0"/>
        <v>91275.586670555524</v>
      </c>
      <c r="D20" s="5"/>
    </row>
    <row r="21" spans="1:4" ht="15.75" thickBot="1" x14ac:dyDescent="0.3">
      <c r="A21" s="14">
        <v>12</v>
      </c>
      <c r="B21" s="15">
        <v>100000</v>
      </c>
      <c r="C21" s="16">
        <f t="shared" si="0"/>
        <v>90521.242979063332</v>
      </c>
    </row>
    <row r="22" spans="1:4" x14ac:dyDescent="0.25">
      <c r="A22" s="9">
        <v>13</v>
      </c>
      <c r="B22" s="10">
        <v>0</v>
      </c>
      <c r="C22" s="10">
        <f t="shared" si="0"/>
        <v>0</v>
      </c>
    </row>
    <row r="23" spans="1:4" x14ac:dyDescent="0.25">
      <c r="A23" s="3">
        <v>14</v>
      </c>
      <c r="B23" s="7">
        <v>0</v>
      </c>
      <c r="C23" s="7">
        <f t="shared" si="0"/>
        <v>0</v>
      </c>
    </row>
    <row r="24" spans="1:4" ht="15.75" thickBot="1" x14ac:dyDescent="0.3">
      <c r="A24" s="17">
        <v>15</v>
      </c>
      <c r="B24" s="15">
        <v>400000</v>
      </c>
      <c r="C24" s="15">
        <f t="shared" si="0"/>
        <v>353181.646847772</v>
      </c>
    </row>
    <row r="25" spans="1:4" x14ac:dyDescent="0.25">
      <c r="A25" s="9">
        <v>16</v>
      </c>
      <c r="B25" s="10">
        <v>0</v>
      </c>
      <c r="C25" s="10">
        <f t="shared" si="0"/>
        <v>0</v>
      </c>
    </row>
    <row r="26" spans="1:4" x14ac:dyDescent="0.25">
      <c r="A26" s="3">
        <v>17</v>
      </c>
      <c r="B26" s="7">
        <v>0</v>
      </c>
      <c r="C26" s="7">
        <f t="shared" si="0"/>
        <v>0</v>
      </c>
    </row>
    <row r="27" spans="1:4" ht="15.75" thickBot="1" x14ac:dyDescent="0.3">
      <c r="A27" s="17">
        <v>18</v>
      </c>
      <c r="B27" s="15">
        <v>500000</v>
      </c>
      <c r="C27" s="15">
        <f t="shared" si="0"/>
        <v>430621.55759309873</v>
      </c>
    </row>
    <row r="28" spans="1:4" x14ac:dyDescent="0.25">
      <c r="A28" s="9">
        <v>19</v>
      </c>
      <c r="B28" s="10">
        <v>0</v>
      </c>
      <c r="C28" s="10">
        <f t="shared" si="0"/>
        <v>0</v>
      </c>
    </row>
    <row r="29" spans="1:4" x14ac:dyDescent="0.25">
      <c r="A29" s="3">
        <v>20</v>
      </c>
      <c r="B29" s="7">
        <v>0</v>
      </c>
      <c r="C29" s="7">
        <f t="shared" si="0"/>
        <v>0</v>
      </c>
    </row>
    <row r="30" spans="1:4" ht="15.75" thickBot="1" x14ac:dyDescent="0.3">
      <c r="A30" s="17">
        <v>21</v>
      </c>
      <c r="B30" s="15">
        <v>400000</v>
      </c>
      <c r="C30" s="15">
        <f t="shared" si="0"/>
        <v>336026.38645618182</v>
      </c>
    </row>
    <row r="31" spans="1:4" x14ac:dyDescent="0.25">
      <c r="A31" s="9">
        <v>22</v>
      </c>
      <c r="B31" s="10">
        <v>0</v>
      </c>
      <c r="C31" s="10">
        <f t="shared" si="0"/>
        <v>0</v>
      </c>
    </row>
    <row r="32" spans="1:4" x14ac:dyDescent="0.25">
      <c r="A32" s="3">
        <v>23</v>
      </c>
      <c r="B32" s="7">
        <v>0</v>
      </c>
      <c r="C32" s="7">
        <f t="shared" si="0"/>
        <v>0</v>
      </c>
    </row>
    <row r="33" spans="1:4" ht="15.75" thickBot="1" x14ac:dyDescent="0.3">
      <c r="A33" s="17">
        <v>24</v>
      </c>
      <c r="B33" s="15">
        <v>300000</v>
      </c>
      <c r="C33" s="15">
        <f t="shared" si="0"/>
        <v>245822.86291423868</v>
      </c>
    </row>
    <row r="34" spans="1:4" x14ac:dyDescent="0.25">
      <c r="A34" s="23" t="s">
        <v>13</v>
      </c>
      <c r="B34" s="9"/>
      <c r="C34" s="18">
        <f>SUM(C10:C33)</f>
        <v>822070.57997918432</v>
      </c>
    </row>
    <row r="35" spans="1:4" x14ac:dyDescent="0.25">
      <c r="A35" s="22" t="s">
        <v>14</v>
      </c>
      <c r="B35" s="3"/>
      <c r="C35" s="21">
        <f>NPV(B7,B10:B33)</f>
        <v>822070.5799791849</v>
      </c>
    </row>
    <row r="39" spans="1:4" x14ac:dyDescent="0.25">
      <c r="A39" s="2" t="s">
        <v>15</v>
      </c>
    </row>
    <row r="40" spans="1:4" x14ac:dyDescent="0.25">
      <c r="D40" s="2" t="s">
        <v>43</v>
      </c>
    </row>
    <row r="41" spans="1:4" ht="45" x14ac:dyDescent="0.25">
      <c r="A41" s="33" t="s">
        <v>4</v>
      </c>
      <c r="B41" s="52" t="s">
        <v>44</v>
      </c>
      <c r="C41" s="33" t="s">
        <v>5</v>
      </c>
      <c r="D41" s="53" t="str">
        <f>D57</f>
        <v>на дату первой инвестиции (на 31 января 2010)</v>
      </c>
    </row>
    <row r="42" spans="1:4" x14ac:dyDescent="0.25">
      <c r="A42" s="3">
        <v>1</v>
      </c>
      <c r="B42" s="49">
        <v>40209</v>
      </c>
      <c r="C42" s="7">
        <v>-1000000</v>
      </c>
      <c r="D42" s="7">
        <f>C42</f>
        <v>-1000000</v>
      </c>
    </row>
    <row r="43" spans="1:4" x14ac:dyDescent="0.25">
      <c r="A43" s="3">
        <v>2</v>
      </c>
      <c r="B43" s="49">
        <v>40237</v>
      </c>
      <c r="C43" s="7">
        <v>-500000</v>
      </c>
      <c r="D43" s="7">
        <f>C43/(1+$B$7)^A42</f>
        <v>-495867.76859504136</v>
      </c>
    </row>
    <row r="44" spans="1:4" x14ac:dyDescent="0.25">
      <c r="A44" s="3">
        <v>3</v>
      </c>
      <c r="B44" s="49">
        <v>40268</v>
      </c>
      <c r="C44" s="7">
        <v>200000</v>
      </c>
      <c r="D44" s="7">
        <f t="shared" ref="D44:D53" si="1">C44/(1+$B$7)^A43</f>
        <v>196707.87514514037</v>
      </c>
    </row>
    <row r="45" spans="1:4" x14ac:dyDescent="0.25">
      <c r="A45" s="3">
        <v>4</v>
      </c>
      <c r="B45" s="49">
        <v>40298</v>
      </c>
      <c r="C45" s="7">
        <v>200000</v>
      </c>
      <c r="D45" s="7">
        <f t="shared" si="1"/>
        <v>195082.19022658552</v>
      </c>
    </row>
    <row r="46" spans="1:4" x14ac:dyDescent="0.25">
      <c r="A46" s="3">
        <v>5</v>
      </c>
      <c r="B46" s="49">
        <v>40329</v>
      </c>
      <c r="C46" s="7">
        <v>200000</v>
      </c>
      <c r="D46" s="7">
        <f t="shared" si="1"/>
        <v>193469.94072058066</v>
      </c>
    </row>
    <row r="47" spans="1:4" x14ac:dyDescent="0.25">
      <c r="A47" s="3">
        <v>6</v>
      </c>
      <c r="B47" s="49">
        <v>40359</v>
      </c>
      <c r="C47" s="7">
        <v>200000</v>
      </c>
      <c r="D47" s="7">
        <f t="shared" si="1"/>
        <v>191871.01559065853</v>
      </c>
    </row>
    <row r="48" spans="1:4" x14ac:dyDescent="0.25">
      <c r="A48" s="3">
        <v>7</v>
      </c>
      <c r="B48" s="49">
        <v>40390</v>
      </c>
      <c r="C48" s="7">
        <v>200000</v>
      </c>
      <c r="D48" s="7">
        <f t="shared" si="1"/>
        <v>190285.30471800847</v>
      </c>
    </row>
    <row r="49" spans="1:5" x14ac:dyDescent="0.25">
      <c r="A49" s="3">
        <v>8</v>
      </c>
      <c r="B49" s="49">
        <v>40421</v>
      </c>
      <c r="C49" s="7">
        <v>200000</v>
      </c>
      <c r="D49" s="7">
        <f t="shared" si="1"/>
        <v>188712.69889389272</v>
      </c>
    </row>
    <row r="50" spans="1:5" x14ac:dyDescent="0.25">
      <c r="A50" s="3">
        <v>9</v>
      </c>
      <c r="B50" s="49">
        <v>40451</v>
      </c>
      <c r="C50" s="7">
        <v>200000</v>
      </c>
      <c r="D50" s="7">
        <f t="shared" si="1"/>
        <v>187153.08981212499</v>
      </c>
    </row>
    <row r="51" spans="1:5" x14ac:dyDescent="0.25">
      <c r="A51" s="3">
        <v>10</v>
      </c>
      <c r="B51" s="49">
        <v>40482</v>
      </c>
      <c r="C51" s="7">
        <v>200000</v>
      </c>
      <c r="D51" s="7">
        <f t="shared" si="1"/>
        <v>185606.37006161158</v>
      </c>
    </row>
    <row r="52" spans="1:5" ht="60" x14ac:dyDescent="0.25">
      <c r="A52" s="3">
        <v>11</v>
      </c>
      <c r="B52" s="49">
        <v>40512</v>
      </c>
      <c r="C52" s="7">
        <v>200000</v>
      </c>
      <c r="D52" s="7">
        <f t="shared" si="1"/>
        <v>184072.43311895363</v>
      </c>
      <c r="E52" s="51" t="str">
        <f>D58</f>
        <v>на дату, которая ранее на 1 период, чем дата первой инвестиции, т.е. на 1 января 2010</v>
      </c>
    </row>
    <row r="53" spans="1:5" x14ac:dyDescent="0.25">
      <c r="A53" s="3">
        <v>12</v>
      </c>
      <c r="B53" s="49">
        <v>40543</v>
      </c>
      <c r="C53" s="7">
        <v>200000</v>
      </c>
      <c r="D53" s="7">
        <f t="shared" si="1"/>
        <v>182551.17334111105</v>
      </c>
      <c r="E53" s="7">
        <f>C42/(1+$B$7)^A42</f>
        <v>-991735.53719008272</v>
      </c>
    </row>
    <row r="54" spans="1:5" x14ac:dyDescent="0.25">
      <c r="D54" s="50">
        <f>SUM(D42:D53)</f>
        <v>399644.32303362631</v>
      </c>
      <c r="E54" s="7">
        <f t="shared" ref="E54:E64" si="2">C43/(1+$B$7)^A43</f>
        <v>-491769.6878628509</v>
      </c>
    </row>
    <row r="55" spans="1:5" x14ac:dyDescent="0.25">
      <c r="E55" s="7">
        <f t="shared" si="2"/>
        <v>195082.19022658552</v>
      </c>
    </row>
    <row r="56" spans="1:5" x14ac:dyDescent="0.25">
      <c r="D56" s="2" t="s">
        <v>43</v>
      </c>
      <c r="E56" s="7">
        <f t="shared" si="2"/>
        <v>193469.94072058066</v>
      </c>
    </row>
    <row r="57" spans="1:5" x14ac:dyDescent="0.25">
      <c r="B57" s="25" t="s">
        <v>17</v>
      </c>
      <c r="C57" s="21">
        <f>C42+NPV(B7,C43:C53)</f>
        <v>399644.32303362619</v>
      </c>
      <c r="D57" t="s">
        <v>45</v>
      </c>
      <c r="E57" s="7">
        <f t="shared" si="2"/>
        <v>191871.01559065853</v>
      </c>
    </row>
    <row r="58" spans="1:5" x14ac:dyDescent="0.25">
      <c r="B58" s="25" t="s">
        <v>17</v>
      </c>
      <c r="C58" s="21">
        <f>NPV(B7,C42:C53)</f>
        <v>396341.47738872044</v>
      </c>
      <c r="D58" t="s">
        <v>46</v>
      </c>
      <c r="E58" s="7">
        <f t="shared" si="2"/>
        <v>190285.30471800847</v>
      </c>
    </row>
    <row r="59" spans="1:5" x14ac:dyDescent="0.25">
      <c r="E59" s="7">
        <f t="shared" si="2"/>
        <v>188712.69889389272</v>
      </c>
    </row>
    <row r="60" spans="1:5" x14ac:dyDescent="0.25">
      <c r="E60" s="7">
        <f t="shared" si="2"/>
        <v>187153.08981212499</v>
      </c>
    </row>
    <row r="61" spans="1:5" x14ac:dyDescent="0.25">
      <c r="E61" s="7">
        <f t="shared" si="2"/>
        <v>185606.37006161158</v>
      </c>
    </row>
    <row r="62" spans="1:5" x14ac:dyDescent="0.25">
      <c r="E62" s="7">
        <f t="shared" si="2"/>
        <v>184072.43311895363</v>
      </c>
    </row>
    <row r="63" spans="1:5" x14ac:dyDescent="0.25">
      <c r="E63" s="7">
        <f t="shared" si="2"/>
        <v>182551.17334111105</v>
      </c>
    </row>
    <row r="64" spans="1:5" x14ac:dyDescent="0.25">
      <c r="E64" s="7">
        <f t="shared" si="2"/>
        <v>181042.48595812666</v>
      </c>
    </row>
    <row r="65" spans="5:5" x14ac:dyDescent="0.25">
      <c r="E65" s="50">
        <f>SUM(E53:E64)</f>
        <v>396341.47738872026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67" t="s">
        <v>68</v>
      </c>
      <c r="B1" s="67"/>
      <c r="C1" s="67"/>
      <c r="D1" s="67"/>
      <c r="E1" s="67"/>
      <c r="F1" s="67"/>
      <c r="G1" s="67"/>
    </row>
    <row r="2" spans="1:7" ht="107.25" customHeight="1" x14ac:dyDescent="0.25">
      <c r="A2" s="66" t="s">
        <v>69</v>
      </c>
    </row>
    <row r="3" spans="1:7" ht="105" customHeight="1" x14ac:dyDescent="0.25">
      <c r="A3" s="66" t="s">
        <v>70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9"/>
  <sheetViews>
    <sheetView workbookViewId="0"/>
  </sheetViews>
  <sheetFormatPr defaultRowHeight="15" x14ac:dyDescent="0.25"/>
  <cols>
    <col min="1" max="1" width="19.42578125" customWidth="1"/>
    <col min="2" max="2" width="13" customWidth="1"/>
    <col min="3" max="4" width="8.5703125" bestFit="1" customWidth="1"/>
    <col min="5" max="5" width="12.5703125" customWidth="1"/>
    <col min="6" max="6" width="18.42578125" bestFit="1" customWidth="1"/>
    <col min="7" max="7" width="17.7109375" bestFit="1" customWidth="1"/>
    <col min="8" max="8" width="17.5703125" bestFit="1" customWidth="1"/>
    <col min="9" max="9" width="10" bestFit="1" customWidth="1"/>
    <col min="10" max="10" width="15.140625" bestFit="1" customWidth="1"/>
  </cols>
  <sheetData>
    <row r="1" spans="1:8" x14ac:dyDescent="0.25">
      <c r="A1" s="2" t="s">
        <v>20</v>
      </c>
    </row>
    <row r="2" spans="1:8" x14ac:dyDescent="0.25">
      <c r="B2" s="5"/>
      <c r="C2" s="5"/>
      <c r="D2" s="5"/>
      <c r="H2" s="34" t="s">
        <v>19</v>
      </c>
    </row>
    <row r="3" spans="1:8" ht="30" x14ac:dyDescent="0.25">
      <c r="A3" s="8" t="s">
        <v>8</v>
      </c>
      <c r="B3" s="28">
        <v>0.12</v>
      </c>
      <c r="C3" s="6" t="s">
        <v>9</v>
      </c>
      <c r="H3" s="35">
        <v>0.1</v>
      </c>
    </row>
    <row r="4" spans="1:8" x14ac:dyDescent="0.25">
      <c r="A4" s="8" t="s">
        <v>24</v>
      </c>
      <c r="B4" s="32" t="s">
        <v>21</v>
      </c>
      <c r="C4" s="3"/>
      <c r="H4" s="35">
        <v>0.12</v>
      </c>
    </row>
    <row r="5" spans="1:8" x14ac:dyDescent="0.25">
      <c r="A5" s="29"/>
      <c r="B5" s="30"/>
      <c r="C5" s="30"/>
      <c r="D5" s="31"/>
      <c r="H5" s="35">
        <v>0.14000000000000001</v>
      </c>
    </row>
    <row r="6" spans="1:8" x14ac:dyDescent="0.25">
      <c r="A6" s="25" t="s">
        <v>16</v>
      </c>
      <c r="B6" s="25" t="s">
        <v>5</v>
      </c>
      <c r="C6" s="36"/>
      <c r="E6" s="2" t="s">
        <v>26</v>
      </c>
    </row>
    <row r="7" spans="1:8" x14ac:dyDescent="0.25">
      <c r="A7" s="3">
        <v>1</v>
      </c>
      <c r="B7" s="7">
        <v>-1000000</v>
      </c>
      <c r="C7" s="37"/>
      <c r="E7" s="25" t="s">
        <v>25</v>
      </c>
      <c r="F7" s="3"/>
      <c r="G7" s="7">
        <v>100000</v>
      </c>
    </row>
    <row r="8" spans="1:8" x14ac:dyDescent="0.25">
      <c r="A8" s="3">
        <v>2</v>
      </c>
      <c r="B8" s="7">
        <v>-500000</v>
      </c>
      <c r="C8" s="37"/>
    </row>
    <row r="9" spans="1:8" x14ac:dyDescent="0.25">
      <c r="A9" s="3">
        <v>3</v>
      </c>
      <c r="B9" s="7">
        <v>700000</v>
      </c>
      <c r="C9" s="37"/>
      <c r="E9" s="25" t="s">
        <v>21</v>
      </c>
      <c r="F9" s="25" t="s">
        <v>22</v>
      </c>
      <c r="G9" s="25" t="s">
        <v>23</v>
      </c>
    </row>
    <row r="10" spans="1:8" x14ac:dyDescent="0.25">
      <c r="A10" s="26">
        <v>4</v>
      </c>
      <c r="B10" s="27">
        <f t="shared" ref="B10:B16" si="0">INDEX($E$10:$G$16,,MATCH($B$4,$E$9:$G$9,0))</f>
        <v>700000</v>
      </c>
      <c r="C10" s="37"/>
      <c r="E10" s="7">
        <v>700000</v>
      </c>
      <c r="F10" s="7">
        <f t="shared" ref="F10:F16" si="1">$E10-$G$7</f>
        <v>600000</v>
      </c>
      <c r="G10" s="7">
        <f t="shared" ref="G10:G16" si="2">$E10+$G$7</f>
        <v>800000</v>
      </c>
    </row>
    <row r="11" spans="1:8" x14ac:dyDescent="0.25">
      <c r="A11" s="26">
        <v>5</v>
      </c>
      <c r="B11" s="27">
        <f t="shared" si="0"/>
        <v>700000</v>
      </c>
      <c r="C11" s="37"/>
      <c r="E11" s="7">
        <v>700000</v>
      </c>
      <c r="F11" s="7">
        <f t="shared" si="1"/>
        <v>600000</v>
      </c>
      <c r="G11" s="7">
        <f t="shared" si="2"/>
        <v>800000</v>
      </c>
    </row>
    <row r="12" spans="1:8" x14ac:dyDescent="0.25">
      <c r="A12" s="26">
        <v>6</v>
      </c>
      <c r="B12" s="27">
        <f t="shared" si="0"/>
        <v>700000</v>
      </c>
      <c r="C12" s="37"/>
      <c r="E12" s="7">
        <v>700000</v>
      </c>
      <c r="F12" s="7">
        <f t="shared" si="1"/>
        <v>600000</v>
      </c>
      <c r="G12" s="7">
        <f t="shared" si="2"/>
        <v>800000</v>
      </c>
    </row>
    <row r="13" spans="1:8" x14ac:dyDescent="0.25">
      <c r="A13" s="26">
        <v>7</v>
      </c>
      <c r="B13" s="27">
        <f t="shared" si="0"/>
        <v>500000</v>
      </c>
      <c r="C13" s="37"/>
      <c r="E13" s="7">
        <v>500000</v>
      </c>
      <c r="F13" s="7">
        <f t="shared" si="1"/>
        <v>400000</v>
      </c>
      <c r="G13" s="7">
        <f t="shared" si="2"/>
        <v>600000</v>
      </c>
    </row>
    <row r="14" spans="1:8" x14ac:dyDescent="0.25">
      <c r="A14" s="26">
        <v>8</v>
      </c>
      <c r="B14" s="27">
        <f t="shared" si="0"/>
        <v>300000</v>
      </c>
      <c r="C14" s="37"/>
      <c r="E14" s="7">
        <v>300000</v>
      </c>
      <c r="F14" s="7">
        <f t="shared" si="1"/>
        <v>200000</v>
      </c>
      <c r="G14" s="7">
        <f t="shared" si="2"/>
        <v>400000</v>
      </c>
    </row>
    <row r="15" spans="1:8" x14ac:dyDescent="0.25">
      <c r="A15" s="26">
        <v>9</v>
      </c>
      <c r="B15" s="27">
        <f t="shared" si="0"/>
        <v>300000</v>
      </c>
      <c r="C15" s="37"/>
      <c r="E15" s="7">
        <v>300000</v>
      </c>
      <c r="F15" s="7">
        <f t="shared" si="1"/>
        <v>200000</v>
      </c>
      <c r="G15" s="7">
        <f t="shared" si="2"/>
        <v>400000</v>
      </c>
    </row>
    <row r="16" spans="1:8" x14ac:dyDescent="0.25">
      <c r="A16" s="26">
        <v>10</v>
      </c>
      <c r="B16" s="27">
        <f t="shared" si="0"/>
        <v>300000</v>
      </c>
      <c r="C16" s="37"/>
      <c r="E16" s="7">
        <v>300000</v>
      </c>
      <c r="F16" s="7">
        <f t="shared" si="1"/>
        <v>200000</v>
      </c>
      <c r="G16" s="7">
        <f t="shared" si="2"/>
        <v>400000</v>
      </c>
    </row>
    <row r="17" spans="1:10" x14ac:dyDescent="0.25">
      <c r="C17" s="37"/>
    </row>
    <row r="18" spans="1:10" x14ac:dyDescent="0.25">
      <c r="A18" s="25" t="s">
        <v>17</v>
      </c>
      <c r="B18" s="21">
        <f>B7+NPV(B3,B8:B16)</f>
        <v>1070283.0712909442</v>
      </c>
      <c r="C18" s="37"/>
    </row>
    <row r="19" spans="1:10" x14ac:dyDescent="0.25">
      <c r="A19" s="2" t="s">
        <v>18</v>
      </c>
      <c r="C19" s="37"/>
    </row>
    <row r="20" spans="1:10" x14ac:dyDescent="0.25">
      <c r="C20" s="37"/>
      <c r="D20" t="s">
        <v>27</v>
      </c>
    </row>
    <row r="21" spans="1:10" ht="30" x14ac:dyDescent="0.25">
      <c r="C21" s="37"/>
      <c r="D21" s="8" t="str">
        <f>H2</f>
        <v>Годовая ставка</v>
      </c>
      <c r="E21" s="33" t="str">
        <f>E9</f>
        <v>Базовый</v>
      </c>
      <c r="F21" s="33" t="str">
        <f>F9</f>
        <v>Пессимистический</v>
      </c>
      <c r="G21" s="33" t="str">
        <f>G9</f>
        <v>Оптимистический</v>
      </c>
    </row>
    <row r="22" spans="1:10" x14ac:dyDescent="0.25">
      <c r="C22" s="37"/>
      <c r="D22" s="4">
        <f>H3</f>
        <v>0.1</v>
      </c>
      <c r="E22" s="7">
        <f t="shared" ref="E22:G24" si="3">$B$7+NPV($D22,$B$8:$B$9,E$10:E$16)</f>
        <v>1266007.5477475883</v>
      </c>
      <c r="F22" s="7">
        <f t="shared" si="3"/>
        <v>863658.88512833742</v>
      </c>
      <c r="G22" s="7">
        <f t="shared" si="3"/>
        <v>1668356.2103668381</v>
      </c>
      <c r="H22" s="40"/>
    </row>
    <row r="23" spans="1:10" x14ac:dyDescent="0.25">
      <c r="C23" s="37"/>
      <c r="D23" s="4">
        <f>H4</f>
        <v>0.12</v>
      </c>
      <c r="E23" s="7">
        <f t="shared" si="3"/>
        <v>1070283.0712909442</v>
      </c>
      <c r="F23" s="7">
        <f t="shared" si="3"/>
        <v>706463.194149744</v>
      </c>
      <c r="G23" s="7">
        <f t="shared" si="3"/>
        <v>1434102.9484321447</v>
      </c>
      <c r="I23" s="7">
        <f>G23-F23</f>
        <v>727639.75428240071</v>
      </c>
      <c r="J23" s="3" t="s">
        <v>28</v>
      </c>
    </row>
    <row r="24" spans="1:10" x14ac:dyDescent="0.25">
      <c r="D24" s="4">
        <f>H5</f>
        <v>0.14000000000000001</v>
      </c>
      <c r="E24" s="7">
        <f t="shared" si="3"/>
        <v>895629.66916522919</v>
      </c>
      <c r="F24" s="7">
        <f t="shared" si="3"/>
        <v>565658.5365804052</v>
      </c>
      <c r="G24" s="7">
        <f t="shared" si="3"/>
        <v>1225600.8017500532</v>
      </c>
      <c r="I24" s="7">
        <f>G24-F23</f>
        <v>519137.60760030919</v>
      </c>
      <c r="J24" s="3" t="s">
        <v>29</v>
      </c>
    </row>
    <row r="25" spans="1:10" x14ac:dyDescent="0.25">
      <c r="I25" s="41">
        <f>I24/I23</f>
        <v>0.71345415714989813</v>
      </c>
      <c r="J25" s="3" t="s">
        <v>30</v>
      </c>
    </row>
    <row r="26" spans="1:10" x14ac:dyDescent="0.25">
      <c r="D26" t="str">
        <f>D21</f>
        <v>Годовая ставка</v>
      </c>
      <c r="E26" t="str">
        <f>F21</f>
        <v>Пессимистический</v>
      </c>
      <c r="F26" t="str">
        <f>E21</f>
        <v>Базовый</v>
      </c>
      <c r="G26" t="str">
        <f>G21</f>
        <v>Оптимистический</v>
      </c>
      <c r="I26" s="41">
        <f>(E23-E24)/E23</f>
        <v>0.16318430778789503</v>
      </c>
      <c r="J26" s="42" t="s">
        <v>31</v>
      </c>
    </row>
    <row r="27" spans="1:10" x14ac:dyDescent="0.25">
      <c r="D27" s="38">
        <f t="shared" ref="D27:D29" si="4">D22</f>
        <v>0.1</v>
      </c>
      <c r="E27" s="39">
        <f>F22</f>
        <v>863658.88512833742</v>
      </c>
      <c r="F27" s="39">
        <f>E22-E27</f>
        <v>402348.66261925083</v>
      </c>
      <c r="G27" s="39">
        <f>G22-F27-E27</f>
        <v>402348.6626192499</v>
      </c>
    </row>
    <row r="28" spans="1:10" x14ac:dyDescent="0.25">
      <c r="D28" s="38">
        <f t="shared" si="4"/>
        <v>0.12</v>
      </c>
      <c r="E28" s="39">
        <f>F23</f>
        <v>706463.194149744</v>
      </c>
      <c r="F28" s="39">
        <f t="shared" ref="F28:F29" si="5">E23-E28</f>
        <v>363819.87714120024</v>
      </c>
      <c r="G28" s="39">
        <f t="shared" ref="G28:G29" si="6">G23-F28-E28</f>
        <v>363819.87714120047</v>
      </c>
    </row>
    <row r="29" spans="1:10" x14ac:dyDescent="0.25">
      <c r="D29" s="38">
        <f t="shared" si="4"/>
        <v>0.14000000000000001</v>
      </c>
      <c r="E29" s="39">
        <f>F24</f>
        <v>565658.5365804052</v>
      </c>
      <c r="F29" s="39">
        <f t="shared" si="5"/>
        <v>329971.13258482399</v>
      </c>
      <c r="G29" s="39">
        <f t="shared" si="6"/>
        <v>329971.13258482399</v>
      </c>
    </row>
  </sheetData>
  <conditionalFormatting sqref="D22:G24">
    <cfRule type="expression" dxfId="3" priority="7">
      <formula>$B$3=$D22</formula>
    </cfRule>
  </conditionalFormatting>
  <conditionalFormatting sqref="E9:G16">
    <cfRule type="expression" dxfId="2" priority="10">
      <formula>$B$4=E$9</formula>
    </cfRule>
  </conditionalFormatting>
  <conditionalFormatting sqref="E21:G24">
    <cfRule type="expression" dxfId="1" priority="11">
      <formula>$B$4=E$21</formula>
    </cfRule>
  </conditionalFormatting>
  <conditionalFormatting sqref="E22:G24">
    <cfRule type="expression" dxfId="0" priority="13">
      <formula>AND($B$4=E$21,$B$3=$D22)</formula>
    </cfRule>
  </conditionalFormatting>
  <dataValidations count="2">
    <dataValidation type="list" allowBlank="1" showInputMessage="1" showErrorMessage="1" sqref="B4">
      <formula1>$E$9:$G$9</formula1>
    </dataValidation>
    <dataValidation type="list" allowBlank="1" showInputMessage="1" showErrorMessage="1" sqref="B3">
      <formula1>$H$3:$H$5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2"/>
  <sheetViews>
    <sheetView workbookViewId="0">
      <selection activeCell="A4" sqref="A4"/>
    </sheetView>
  </sheetViews>
  <sheetFormatPr defaultRowHeight="15" x14ac:dyDescent="0.25"/>
  <cols>
    <col min="2" max="2" width="12.140625" bestFit="1" customWidth="1"/>
    <col min="3" max="3" width="13.28515625" bestFit="1" customWidth="1"/>
  </cols>
  <sheetData>
    <row r="1" spans="1:2" x14ac:dyDescent="0.25">
      <c r="A1" s="2" t="s">
        <v>62</v>
      </c>
    </row>
    <row r="3" spans="1:2" x14ac:dyDescent="0.25">
      <c r="A3" s="25" t="s">
        <v>16</v>
      </c>
      <c r="B3" s="25" t="s">
        <v>5</v>
      </c>
    </row>
    <row r="4" spans="1:2" x14ac:dyDescent="0.25">
      <c r="A4" s="3">
        <v>1</v>
      </c>
      <c r="B4" s="7">
        <v>-1000000</v>
      </c>
    </row>
    <row r="5" spans="1:2" x14ac:dyDescent="0.25">
      <c r="A5" s="3">
        <v>2</v>
      </c>
      <c r="B5" s="7">
        <v>-500000</v>
      </c>
    </row>
    <row r="6" spans="1:2" x14ac:dyDescent="0.25">
      <c r="A6" s="3">
        <v>3</v>
      </c>
      <c r="B6" s="7">
        <v>700000</v>
      </c>
    </row>
    <row r="7" spans="1:2" x14ac:dyDescent="0.25">
      <c r="A7" s="3">
        <v>4</v>
      </c>
      <c r="B7" s="7">
        <v>700000</v>
      </c>
    </row>
    <row r="8" spans="1:2" x14ac:dyDescent="0.25">
      <c r="A8" s="3">
        <v>5</v>
      </c>
      <c r="B8" s="7">
        <v>700000</v>
      </c>
    </row>
    <row r="9" spans="1:2" x14ac:dyDescent="0.25">
      <c r="A9" s="3">
        <v>6</v>
      </c>
      <c r="B9" s="7">
        <v>700000</v>
      </c>
    </row>
    <row r="10" spans="1:2" x14ac:dyDescent="0.25">
      <c r="A10" s="3">
        <v>7</v>
      </c>
      <c r="B10" s="7">
        <v>500000</v>
      </c>
    </row>
    <row r="11" spans="1:2" x14ac:dyDescent="0.25">
      <c r="A11" s="3">
        <v>8</v>
      </c>
      <c r="B11" s="7">
        <v>300000</v>
      </c>
    </row>
    <row r="12" spans="1:2" x14ac:dyDescent="0.25">
      <c r="A12" s="3">
        <v>9</v>
      </c>
      <c r="B12" s="7">
        <v>300000</v>
      </c>
    </row>
    <row r="13" spans="1:2" x14ac:dyDescent="0.25">
      <c r="A13" s="3">
        <v>10</v>
      </c>
      <c r="B13" s="7">
        <v>300000</v>
      </c>
    </row>
    <row r="15" spans="1:2" x14ac:dyDescent="0.25">
      <c r="A15" s="25" t="s">
        <v>33</v>
      </c>
      <c r="B15" s="43">
        <f>IRR(B4:B13)</f>
        <v>0.29953909990391314</v>
      </c>
    </row>
    <row r="16" spans="1:2" x14ac:dyDescent="0.25">
      <c r="A16" s="25" t="s">
        <v>17</v>
      </c>
      <c r="B16" s="21">
        <f>NPV(IRR(B4:B13),B4:B13)</f>
        <v>-1.4837020047347341E-10</v>
      </c>
    </row>
    <row r="20" spans="1:3" x14ac:dyDescent="0.25">
      <c r="A20" s="2" t="s">
        <v>32</v>
      </c>
    </row>
    <row r="21" spans="1:3" x14ac:dyDescent="0.25">
      <c r="A21" s="25" t="s">
        <v>33</v>
      </c>
      <c r="B21" s="44">
        <v>0.2995390999030596</v>
      </c>
      <c r="C21" s="44">
        <v>0.29953909959342206</v>
      </c>
    </row>
    <row r="22" spans="1:3" x14ac:dyDescent="0.25">
      <c r="A22" s="25" t="s">
        <v>17</v>
      </c>
      <c r="B22" s="7">
        <f>B4+NPV(B21,B5:B13)</f>
        <v>3.1763920560479164E-6</v>
      </c>
      <c r="C22" s="7">
        <f>NPV(C21,B4:B13)</f>
        <v>8.8911314640175755E-4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C20"/>
  <sheetViews>
    <sheetView workbookViewId="0">
      <selection activeCell="D39" sqref="D39"/>
    </sheetView>
  </sheetViews>
  <sheetFormatPr defaultRowHeight="15" x14ac:dyDescent="0.25"/>
  <cols>
    <col min="2" max="2" width="13.28515625" bestFit="1" customWidth="1"/>
    <col min="3" max="3" width="14" bestFit="1" customWidth="1"/>
  </cols>
  <sheetData>
    <row r="1" spans="1:2" x14ac:dyDescent="0.25">
      <c r="A1" s="2" t="s">
        <v>37</v>
      </c>
    </row>
    <row r="3" spans="1:2" x14ac:dyDescent="0.25">
      <c r="A3" s="25" t="s">
        <v>16</v>
      </c>
      <c r="B3" s="25" t="s">
        <v>5</v>
      </c>
    </row>
    <row r="4" spans="1:2" x14ac:dyDescent="0.25">
      <c r="A4" s="3">
        <v>1</v>
      </c>
      <c r="B4" s="7">
        <v>-1000000</v>
      </c>
    </row>
    <row r="5" spans="1:2" x14ac:dyDescent="0.25">
      <c r="A5" s="3">
        <v>2</v>
      </c>
      <c r="B5" s="7">
        <v>700000</v>
      </c>
    </row>
    <row r="6" spans="1:2" x14ac:dyDescent="0.25">
      <c r="A6" s="3">
        <v>3</v>
      </c>
      <c r="B6" s="7">
        <v>700000</v>
      </c>
    </row>
    <row r="7" spans="1:2" x14ac:dyDescent="0.25">
      <c r="A7" s="3">
        <v>4</v>
      </c>
      <c r="B7" s="7">
        <v>700000</v>
      </c>
    </row>
    <row r="8" spans="1:2" x14ac:dyDescent="0.25">
      <c r="A8" s="3">
        <v>5</v>
      </c>
      <c r="B8" s="7">
        <v>700000</v>
      </c>
    </row>
    <row r="9" spans="1:2" x14ac:dyDescent="0.25">
      <c r="A9" s="3">
        <v>6</v>
      </c>
      <c r="B9" s="7">
        <v>700000</v>
      </c>
    </row>
    <row r="10" spans="1:2" x14ac:dyDescent="0.25">
      <c r="A10" s="3">
        <v>7</v>
      </c>
      <c r="B10" s="7">
        <v>700000</v>
      </c>
    </row>
    <row r="11" spans="1:2" x14ac:dyDescent="0.25">
      <c r="A11" s="3">
        <v>8</v>
      </c>
      <c r="B11" s="7">
        <v>700000</v>
      </c>
    </row>
    <row r="12" spans="1:2" x14ac:dyDescent="0.25">
      <c r="A12" s="3">
        <v>9</v>
      </c>
      <c r="B12" s="7">
        <v>700000</v>
      </c>
    </row>
    <row r="13" spans="1:2" x14ac:dyDescent="0.25">
      <c r="A13" s="3">
        <v>10</v>
      </c>
      <c r="B13" s="7">
        <v>700000</v>
      </c>
    </row>
    <row r="15" spans="1:2" x14ac:dyDescent="0.25">
      <c r="A15" s="25" t="s">
        <v>34</v>
      </c>
      <c r="B15" s="46">
        <v>0.2</v>
      </c>
    </row>
    <row r="16" spans="1:2" x14ac:dyDescent="0.25">
      <c r="A16" s="36"/>
      <c r="B16" s="45"/>
    </row>
    <row r="17" spans="1:3" x14ac:dyDescent="0.25">
      <c r="A17" s="2" t="s">
        <v>15</v>
      </c>
      <c r="B17" s="45"/>
    </row>
    <row r="19" spans="1:3" x14ac:dyDescent="0.25">
      <c r="A19" s="25" t="s">
        <v>17</v>
      </c>
      <c r="B19" s="21">
        <f>B4+NPV(B15,B5:B13)</f>
        <v>1821676.5518626487</v>
      </c>
      <c r="C19" t="s">
        <v>35</v>
      </c>
    </row>
    <row r="20" spans="1:3" x14ac:dyDescent="0.25">
      <c r="B20" s="21">
        <f>-PV(B15,A13-1,B13)+B4</f>
        <v>1821676.5518626478</v>
      </c>
      <c r="C20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43"/>
  <sheetViews>
    <sheetView workbookViewId="0">
      <selection activeCell="I39" sqref="I39"/>
    </sheetView>
  </sheetViews>
  <sheetFormatPr defaultRowHeight="15" x14ac:dyDescent="0.25"/>
  <cols>
    <col min="1" max="1" width="11.42578125" customWidth="1"/>
    <col min="2" max="2" width="21.5703125" bestFit="1" customWidth="1"/>
    <col min="3" max="3" width="12.140625" bestFit="1" customWidth="1"/>
    <col min="5" max="5" width="15.7109375" bestFit="1" customWidth="1"/>
    <col min="6" max="6" width="11.42578125" bestFit="1" customWidth="1"/>
    <col min="7" max="7" width="11.7109375" customWidth="1"/>
    <col min="8" max="8" width="10.7109375" bestFit="1" customWidth="1"/>
    <col min="9" max="9" width="13.28515625" customWidth="1"/>
    <col min="10" max="10" width="11.42578125" bestFit="1" customWidth="1"/>
    <col min="11" max="11" width="14.140625" customWidth="1"/>
    <col min="12" max="12" width="11.42578125" bestFit="1" customWidth="1"/>
  </cols>
  <sheetData>
    <row r="1" spans="1:12" x14ac:dyDescent="0.25">
      <c r="A1" s="2" t="s">
        <v>38</v>
      </c>
    </row>
    <row r="2" spans="1:12" x14ac:dyDescent="0.25">
      <c r="I2" t="s">
        <v>56</v>
      </c>
    </row>
    <row r="3" spans="1:12" x14ac:dyDescent="0.25">
      <c r="A3" s="25" t="s">
        <v>40</v>
      </c>
      <c r="B3" s="25" t="s">
        <v>39</v>
      </c>
      <c r="C3" s="25" t="s">
        <v>5</v>
      </c>
      <c r="E3" s="25" t="s">
        <v>41</v>
      </c>
      <c r="F3" s="25" t="s">
        <v>42</v>
      </c>
      <c r="G3" s="25" t="s">
        <v>47</v>
      </c>
      <c r="I3" s="57" t="s">
        <v>41</v>
      </c>
      <c r="J3" s="58"/>
      <c r="K3" s="57" t="s">
        <v>42</v>
      </c>
      <c r="L3" s="58"/>
    </row>
    <row r="4" spans="1:12" x14ac:dyDescent="0.25">
      <c r="A4" s="3">
        <v>1</v>
      </c>
      <c r="B4" s="47">
        <v>40209</v>
      </c>
      <c r="C4" s="7">
        <v>-1000000</v>
      </c>
      <c r="E4" s="7">
        <f>XNPV($B$17,$C$4:C4,$B$4:B4)</f>
        <v>-1000000</v>
      </c>
      <c r="F4" s="7"/>
      <c r="G4" s="3"/>
      <c r="I4" s="7">
        <f t="shared" ref="I4:I15" si="0">C4/(1+$B$17)^((B4-$B$4)/365)</f>
        <v>-1000000</v>
      </c>
      <c r="J4" s="3"/>
      <c r="K4" s="7">
        <f>C4</f>
        <v>-1000000</v>
      </c>
      <c r="L4" s="3"/>
    </row>
    <row r="5" spans="1:12" x14ac:dyDescent="0.25">
      <c r="A5" s="3">
        <v>2</v>
      </c>
      <c r="B5" s="47">
        <v>40237</v>
      </c>
      <c r="C5" s="7">
        <v>300000</v>
      </c>
      <c r="E5" s="7">
        <f>XNPV($B$17,$C$4:C5,$B$4:B5)</f>
        <v>-704166.68714761338</v>
      </c>
      <c r="F5" s="7">
        <f>$C$4+NPV($B$18,$C$5:C5)</f>
        <v>-704918.03278688528</v>
      </c>
      <c r="G5" s="7">
        <f>F5-E5</f>
        <v>-751.34563927189447</v>
      </c>
      <c r="I5" s="7">
        <f t="shared" si="0"/>
        <v>295833.31285238656</v>
      </c>
      <c r="J5" s="7">
        <f>SUM($I$4:I5)</f>
        <v>-704166.68714761338</v>
      </c>
      <c r="K5" s="7">
        <f t="shared" ref="K5:K15" si="1">C5/(1+$B$18)^A4</f>
        <v>295081.96721311478</v>
      </c>
      <c r="L5" s="7">
        <f>SUM($K$4:K5)</f>
        <v>-704918.03278688528</v>
      </c>
    </row>
    <row r="6" spans="1:12" x14ac:dyDescent="0.25">
      <c r="A6" s="3">
        <v>3</v>
      </c>
      <c r="B6" s="47">
        <v>40268</v>
      </c>
      <c r="C6" s="7">
        <v>300000</v>
      </c>
      <c r="E6" s="7">
        <f>XNPV($B$17,$C$4:C6,$B$4:B6)</f>
        <v>-412879.02200386341</v>
      </c>
      <c r="F6" s="7">
        <f>$C$4+NPV($B$18,$C$5:C6)</f>
        <v>-414673.47487234615</v>
      </c>
      <c r="G6" s="7">
        <f t="shared" ref="G6:G15" si="2">F6-E6</f>
        <v>-1794.4528684827383</v>
      </c>
      <c r="H6" s="40"/>
      <c r="I6" s="7">
        <f t="shared" si="0"/>
        <v>291287.66514374997</v>
      </c>
      <c r="J6" s="7">
        <f>SUM($I$4:I6)</f>
        <v>-412879.02200386341</v>
      </c>
      <c r="K6" s="7">
        <f t="shared" si="1"/>
        <v>290244.55791453912</v>
      </c>
      <c r="L6" s="7">
        <f>SUM($K$4:K6)</f>
        <v>-414673.47487234615</v>
      </c>
    </row>
    <row r="7" spans="1:12" x14ac:dyDescent="0.25">
      <c r="A7" s="3">
        <v>4</v>
      </c>
      <c r="B7" s="47">
        <v>40298</v>
      </c>
      <c r="C7" s="7">
        <v>300000</v>
      </c>
      <c r="E7" s="7">
        <f>XNPV($B$17,$C$4:C7,$B$4:B7)</f>
        <v>-125923.8565959683</v>
      </c>
      <c r="F7" s="7">
        <f>$C$4+NPV($B$18,$C$5:C7)</f>
        <v>-129187.0244646027</v>
      </c>
      <c r="G7" s="7">
        <f t="shared" si="2"/>
        <v>-3263.1678686343948</v>
      </c>
      <c r="H7" s="40"/>
      <c r="I7" s="7">
        <f t="shared" si="0"/>
        <v>286955.16540789511</v>
      </c>
      <c r="J7" s="7">
        <f>SUM($I$4:I7)</f>
        <v>-125923.8565959683</v>
      </c>
      <c r="K7" s="7">
        <f t="shared" si="1"/>
        <v>285486.45040774345</v>
      </c>
      <c r="L7" s="7">
        <f>SUM($K$4:K7)</f>
        <v>-129187.0244646027</v>
      </c>
    </row>
    <row r="8" spans="1:12" x14ac:dyDescent="0.25">
      <c r="A8" s="3">
        <v>5</v>
      </c>
      <c r="B8" s="47">
        <v>40329</v>
      </c>
      <c r="C8" s="7">
        <v>300000</v>
      </c>
      <c r="E8" s="7">
        <f>XNPV($B$17,$C$4:C8,$B$4:B8)</f>
        <v>156622.07890627137</v>
      </c>
      <c r="F8" s="7">
        <f>$C$4+NPV($B$18,$C$5:C8)</f>
        <v>151619.32019875152</v>
      </c>
      <c r="G8" s="7">
        <f t="shared" si="2"/>
        <v>-5002.7587075198535</v>
      </c>
      <c r="H8" s="40"/>
      <c r="I8" s="7">
        <f t="shared" si="0"/>
        <v>282545.93550223968</v>
      </c>
      <c r="J8" s="7">
        <f>SUM($I$4:I8)</f>
        <v>156622.07890627137</v>
      </c>
      <c r="K8" s="7">
        <f t="shared" si="1"/>
        <v>280806.34466335416</v>
      </c>
      <c r="L8" s="7">
        <f>SUM($K$4:K8)</f>
        <v>151619.32019875146</v>
      </c>
    </row>
    <row r="9" spans="1:12" x14ac:dyDescent="0.25">
      <c r="A9" s="3">
        <v>6</v>
      </c>
      <c r="B9" s="47">
        <v>40359</v>
      </c>
      <c r="C9" s="7">
        <v>300000</v>
      </c>
      <c r="E9" s="7">
        <f>XNPV($B$17,$C$4:C9,$B$4:B9)</f>
        <v>434965.53576827684</v>
      </c>
      <c r="F9" s="7">
        <f>$C$4+NPV($B$18,$C$5:C9)</f>
        <v>427822.2821627066</v>
      </c>
      <c r="G9" s="7">
        <f t="shared" si="2"/>
        <v>-7143.2536055702367</v>
      </c>
      <c r="H9" s="40"/>
      <c r="I9" s="7">
        <f t="shared" si="0"/>
        <v>278343.45686200546</v>
      </c>
      <c r="J9" s="7">
        <f>SUM($I$4:I9)</f>
        <v>434965.53576827684</v>
      </c>
      <c r="K9" s="7">
        <f t="shared" si="1"/>
        <v>276202.96196395491</v>
      </c>
      <c r="L9" s="7">
        <f>SUM($K$4:K9)</f>
        <v>427822.28216270637</v>
      </c>
    </row>
    <row r="10" spans="1:12" x14ac:dyDescent="0.25">
      <c r="A10" s="3">
        <v>7</v>
      </c>
      <c r="B10" s="47">
        <v>40390</v>
      </c>
      <c r="C10" s="7">
        <v>150000</v>
      </c>
      <c r="E10" s="7">
        <f>XNPV($B$17,$C$4:C10,$B$4:B10)</f>
        <v>571998.81115506461</v>
      </c>
      <c r="F10" s="7">
        <f>$C$4+NPV($B$18,$C$5:C10)</f>
        <v>563659.80444006133</v>
      </c>
      <c r="G10" s="7">
        <f t="shared" si="2"/>
        <v>-8339.0067150032846</v>
      </c>
      <c r="H10" s="40"/>
      <c r="I10" s="7">
        <f t="shared" si="0"/>
        <v>137033.27538678775</v>
      </c>
      <c r="J10" s="7">
        <f>SUM($I$4:I10)</f>
        <v>571998.81115506461</v>
      </c>
      <c r="K10" s="7">
        <f t="shared" si="1"/>
        <v>135837.52227735487</v>
      </c>
      <c r="L10" s="7">
        <f>SUM($K$4:K10)</f>
        <v>563659.80444006121</v>
      </c>
    </row>
    <row r="11" spans="1:12" x14ac:dyDescent="0.25">
      <c r="A11" s="3">
        <v>8</v>
      </c>
      <c r="B11" s="47">
        <v>40421</v>
      </c>
      <c r="C11" s="7">
        <v>150000</v>
      </c>
      <c r="E11" s="7">
        <f>XNPV($B$17,$C$4:C11,$B$4:B11)</f>
        <v>706926.49204925459</v>
      </c>
      <c r="F11" s="7">
        <f>$C$4+NPV($B$18,$C$5:C11)</f>
        <v>697270.48208991881</v>
      </c>
      <c r="G11" s="7">
        <f t="shared" si="2"/>
        <v>-9656.0099593357882</v>
      </c>
      <c r="H11" s="40"/>
      <c r="I11" s="7">
        <f t="shared" si="0"/>
        <v>134927.68089419001</v>
      </c>
      <c r="J11" s="7">
        <f>SUM($I$4:I11)</f>
        <v>706926.49204925459</v>
      </c>
      <c r="K11" s="7">
        <f t="shared" si="1"/>
        <v>133610.6776498573</v>
      </c>
      <c r="L11" s="7">
        <f>SUM($K$4:K11)</f>
        <v>697270.48208991857</v>
      </c>
    </row>
    <row r="12" spans="1:12" x14ac:dyDescent="0.25">
      <c r="A12" s="3">
        <v>9</v>
      </c>
      <c r="B12" s="47">
        <v>40451</v>
      </c>
      <c r="C12" s="7">
        <v>150000</v>
      </c>
      <c r="E12" s="7">
        <f>XNPV($B$17,$C$4:C12,$B$4:B12)</f>
        <v>839847.31095859164</v>
      </c>
      <c r="F12" s="7">
        <f>$C$4+NPV($B$18,$C$5:C12)</f>
        <v>828690.82076190948</v>
      </c>
      <c r="G12" s="7">
        <f t="shared" si="2"/>
        <v>-11156.490196682164</v>
      </c>
      <c r="H12" s="40"/>
      <c r="I12" s="7">
        <f t="shared" si="0"/>
        <v>132920.81890933702</v>
      </c>
      <c r="J12" s="7">
        <f>SUM($I$4:I12)</f>
        <v>839847.31095859164</v>
      </c>
      <c r="K12" s="7">
        <f t="shared" si="1"/>
        <v>131420.33867199079</v>
      </c>
      <c r="L12" s="7">
        <f>SUM($K$4:K12)</f>
        <v>828690.82076190936</v>
      </c>
    </row>
    <row r="13" spans="1:12" x14ac:dyDescent="0.25">
      <c r="A13" s="3">
        <v>10</v>
      </c>
      <c r="B13" s="47">
        <v>40482</v>
      </c>
      <c r="C13" s="7">
        <v>150000</v>
      </c>
      <c r="E13" s="7">
        <f>XNPV($B$17,$C$4:C13,$B$4:B13)</f>
        <v>970725.72561642772</v>
      </c>
      <c r="F13" s="7">
        <f>$C$4+NPV($B$18,$C$5:C13)</f>
        <v>957956.72765239235</v>
      </c>
      <c r="G13" s="7">
        <f t="shared" si="2"/>
        <v>-12768.99796403537</v>
      </c>
      <c r="H13" s="40"/>
      <c r="I13" s="7">
        <f t="shared" si="0"/>
        <v>130878.41465783604</v>
      </c>
      <c r="J13" s="7">
        <f>SUM($I$4:I13)</f>
        <v>970725.72561642772</v>
      </c>
      <c r="K13" s="7">
        <f t="shared" si="1"/>
        <v>129265.90689048273</v>
      </c>
      <c r="L13" s="7">
        <f>SUM($K$4:K13)</f>
        <v>957956.72765239212</v>
      </c>
    </row>
    <row r="14" spans="1:12" x14ac:dyDescent="0.25">
      <c r="A14" s="3">
        <v>11</v>
      </c>
      <c r="B14" s="47">
        <v>40512</v>
      </c>
      <c r="C14" s="7">
        <v>100000</v>
      </c>
      <c r="E14" s="7">
        <f>XNPV($B$17,$C$4:C14,$B$4:B14)</f>
        <v>1056680.2455418962</v>
      </c>
      <c r="F14" s="7">
        <f>$C$4+NPV($B$18,$C$5:C14)</f>
        <v>1042721.2567609055</v>
      </c>
      <c r="G14" s="7">
        <f t="shared" si="2"/>
        <v>-13958.988780990709</v>
      </c>
      <c r="H14" s="40"/>
      <c r="I14" s="7">
        <f t="shared" si="0"/>
        <v>85954.519925468383</v>
      </c>
      <c r="J14" s="7">
        <f>SUM($I$4:I14)</f>
        <v>1056680.2455418962</v>
      </c>
      <c r="K14" s="7">
        <f t="shared" si="1"/>
        <v>84764.529108513278</v>
      </c>
      <c r="L14" s="7">
        <f>SUM($K$4:K14)</f>
        <v>1042721.2567609054</v>
      </c>
    </row>
    <row r="15" spans="1:12" x14ac:dyDescent="0.25">
      <c r="A15" s="3">
        <v>12</v>
      </c>
      <c r="B15" s="47">
        <v>40543</v>
      </c>
      <c r="C15" s="7">
        <v>100000</v>
      </c>
      <c r="E15" s="61">
        <f>XNPV($B$17,$C$4:C15,$B$4:B15)</f>
        <v>1141314.0252073212</v>
      </c>
      <c r="F15" s="61">
        <f>$C$4+NPV($B$18,$C$5:C15)</f>
        <v>1126096.2034250172</v>
      </c>
      <c r="G15" s="7">
        <f t="shared" si="2"/>
        <v>-15217.821782303974</v>
      </c>
      <c r="H15" s="40"/>
      <c r="I15" s="7">
        <f t="shared" si="0"/>
        <v>84633.779665424954</v>
      </c>
      <c r="J15" s="50">
        <f>SUM($I$4:I15)</f>
        <v>1141314.0252073212</v>
      </c>
      <c r="K15" s="7">
        <f t="shared" si="1"/>
        <v>83374.946664111427</v>
      </c>
      <c r="L15" s="50">
        <f>SUM($K$4:K15)</f>
        <v>1126096.2034250167</v>
      </c>
    </row>
    <row r="16" spans="1:12" x14ac:dyDescent="0.25">
      <c r="G16" s="54">
        <f>G15/F15</f>
        <v>-1.351378482230828E-2</v>
      </c>
    </row>
    <row r="17" spans="1:3" x14ac:dyDescent="0.25">
      <c r="A17" s="55" t="s">
        <v>34</v>
      </c>
      <c r="B17" s="46">
        <v>0.2</v>
      </c>
      <c r="C17" t="s">
        <v>48</v>
      </c>
    </row>
    <row r="18" spans="1:3" x14ac:dyDescent="0.25">
      <c r="A18" s="36"/>
      <c r="B18" s="56">
        <f>B17/12</f>
        <v>1.6666666666666666E-2</v>
      </c>
      <c r="C18" t="s">
        <v>49</v>
      </c>
    </row>
    <row r="19" spans="1:3" x14ac:dyDescent="0.25">
      <c r="A19" s="36"/>
      <c r="B19" s="48"/>
    </row>
    <row r="20" spans="1:3" x14ac:dyDescent="0.25">
      <c r="A20" s="2" t="s">
        <v>15</v>
      </c>
      <c r="B20" s="45"/>
    </row>
    <row r="21" spans="1:3" x14ac:dyDescent="0.25">
      <c r="B21" s="5"/>
    </row>
    <row r="22" spans="1:3" x14ac:dyDescent="0.25">
      <c r="A22" s="25" t="s">
        <v>17</v>
      </c>
      <c r="B22" s="21">
        <f>C4+NPV(B18,C5:C15)</f>
        <v>1126096.2034250172</v>
      </c>
      <c r="C22" t="s">
        <v>50</v>
      </c>
    </row>
    <row r="23" spans="1:3" x14ac:dyDescent="0.25">
      <c r="B23" s="21">
        <f>XNPV(B17,C4:C15,B4:B15)</f>
        <v>1141314.0252073212</v>
      </c>
      <c r="C23" t="s">
        <v>51</v>
      </c>
    </row>
    <row r="24" spans="1:3" x14ac:dyDescent="0.25">
      <c r="B24" s="21">
        <f>SUMPRODUCT(C4:C15/(1+B17)^((B4:B15-$B$4)/365))</f>
        <v>1141314.0252073212</v>
      </c>
    </row>
    <row r="26" spans="1:3" x14ac:dyDescent="0.25">
      <c r="A26" s="2" t="s">
        <v>59</v>
      </c>
    </row>
    <row r="27" spans="1:3" x14ac:dyDescent="0.25">
      <c r="A27" s="63">
        <f>XIRR(C4:C15,B4:B15)</f>
        <v>11.324413204193116</v>
      </c>
      <c r="B27" s="25" t="s">
        <v>52</v>
      </c>
    </row>
    <row r="28" spans="1:3" x14ac:dyDescent="0.25">
      <c r="A28" s="64">
        <f>XNPV(A27,C4:C15,B4:B15)</f>
        <v>7.2911633105832152E-4</v>
      </c>
      <c r="B28" s="25" t="s">
        <v>58</v>
      </c>
    </row>
    <row r="32" spans="1:3" x14ac:dyDescent="0.25">
      <c r="A32" s="2" t="s">
        <v>60</v>
      </c>
    </row>
    <row r="33" spans="1:9" x14ac:dyDescent="0.25">
      <c r="E33" s="2" t="s">
        <v>57</v>
      </c>
    </row>
    <row r="34" spans="1:9" x14ac:dyDescent="0.25">
      <c r="A34" s="25" t="s">
        <v>40</v>
      </c>
      <c r="B34" s="25" t="s">
        <v>39</v>
      </c>
      <c r="C34" s="25" t="s">
        <v>5</v>
      </c>
      <c r="E34" s="25" t="s">
        <v>65</v>
      </c>
      <c r="F34" s="3"/>
      <c r="G34" s="25" t="s">
        <v>66</v>
      </c>
      <c r="H34" s="25" t="s">
        <v>47</v>
      </c>
    </row>
    <row r="35" spans="1:9" x14ac:dyDescent="0.25">
      <c r="A35" s="3">
        <v>1</v>
      </c>
      <c r="B35" s="47">
        <v>40179</v>
      </c>
      <c r="C35" s="7">
        <v>-1000000</v>
      </c>
      <c r="E35" s="7">
        <f>C35</f>
        <v>-1000000</v>
      </c>
      <c r="F35" s="3"/>
      <c r="G35" s="3"/>
      <c r="H35" s="3"/>
    </row>
    <row r="36" spans="1:9" x14ac:dyDescent="0.25">
      <c r="A36" s="3">
        <v>2</v>
      </c>
      <c r="B36" s="47">
        <v>40544</v>
      </c>
      <c r="C36" s="7">
        <v>300000</v>
      </c>
      <c r="E36" s="7">
        <f>C36/(1+$B$43)^A35</f>
        <v>246561.84729903378</v>
      </c>
      <c r="F36" s="7">
        <f>SUM($E$35:E36)</f>
        <v>-753438.15270096622</v>
      </c>
      <c r="G36" s="7">
        <f>XNPV($B$43,$C$35:C36,$B$35:B36)</f>
        <v>-753438.15270096622</v>
      </c>
      <c r="H36" s="7">
        <f>F36-G36</f>
        <v>0</v>
      </c>
    </row>
    <row r="37" spans="1:9" x14ac:dyDescent="0.25">
      <c r="A37" s="3">
        <v>3</v>
      </c>
      <c r="B37" s="47">
        <v>40909</v>
      </c>
      <c r="C37" s="7">
        <v>500000</v>
      </c>
      <c r="E37" s="7">
        <f>C37/(1+$B$43)^A36</f>
        <v>337737.46968617808</v>
      </c>
      <c r="F37" s="7">
        <f>SUM($E$35:E37)</f>
        <v>-415700.68301478814</v>
      </c>
      <c r="G37" s="7">
        <f>XNPV($B$43,$C$35:C37,$B$35:B37)</f>
        <v>-415700.68301478814</v>
      </c>
      <c r="H37" s="7">
        <f t="shared" ref="H37:H40" si="3">F37-G37</f>
        <v>0</v>
      </c>
    </row>
    <row r="38" spans="1:9" x14ac:dyDescent="0.25">
      <c r="A38" s="3">
        <v>4</v>
      </c>
      <c r="B38" s="47">
        <v>41275</v>
      </c>
      <c r="C38" s="7">
        <v>300000</v>
      </c>
      <c r="E38" s="7">
        <f>C38/(1+$B$43)^A37</f>
        <v>166546.34885585096</v>
      </c>
      <c r="F38" s="7">
        <f>SUM($E$35:E38)</f>
        <v>-249154.33415893718</v>
      </c>
      <c r="G38" s="7">
        <f>XNPV($B$43,$C$35:C38,$B$35:B38)</f>
        <v>-249243.82060932522</v>
      </c>
      <c r="H38" s="7">
        <f t="shared" si="3"/>
        <v>89.486450388038065</v>
      </c>
      <c r="I38" t="s">
        <v>67</v>
      </c>
    </row>
    <row r="39" spans="1:9" x14ac:dyDescent="0.25">
      <c r="A39" s="3">
        <v>5</v>
      </c>
      <c r="B39" s="47">
        <v>41640</v>
      </c>
      <c r="C39" s="7">
        <v>300000</v>
      </c>
      <c r="E39" s="7">
        <f>C39/(1+$B$43)^A38</f>
        <v>136879.91811602644</v>
      </c>
      <c r="F39" s="7">
        <f>SUM($E$35:E39)</f>
        <v>-112274.41604291074</v>
      </c>
      <c r="G39" s="7">
        <f>XNPV($B$43,$C$35:C39,$B$35:B39)</f>
        <v>-112437.44897501849</v>
      </c>
      <c r="H39" s="7">
        <f t="shared" si="3"/>
        <v>163.03293210774427</v>
      </c>
    </row>
    <row r="40" spans="1:9" x14ac:dyDescent="0.25">
      <c r="A40" s="3">
        <v>6</v>
      </c>
      <c r="B40" s="47">
        <v>42005</v>
      </c>
      <c r="C40" s="7">
        <v>300000</v>
      </c>
      <c r="E40" s="7">
        <f>C40/(1+$B$43)^A39</f>
        <v>112497.88489609321</v>
      </c>
      <c r="F40" s="50">
        <f>SUM($E$35:E40)</f>
        <v>223.46885318246495</v>
      </c>
      <c r="G40" s="61">
        <f>XNPV($B$43,$C$35:C40,$B$35:B40)</f>
        <v>-9.933575798640959E-3</v>
      </c>
      <c r="H40" s="7">
        <f t="shared" si="3"/>
        <v>223.4787867582636</v>
      </c>
    </row>
    <row r="41" spans="1:9" x14ac:dyDescent="0.25">
      <c r="E41" s="50">
        <f>SUM(E35:E40)</f>
        <v>223.46885318246495</v>
      </c>
      <c r="G41" s="61">
        <f>XNPV(B43,C35:C40,B35:B40)</f>
        <v>-9.933575798640959E-3</v>
      </c>
      <c r="H41" t="s">
        <v>64</v>
      </c>
    </row>
    <row r="42" spans="1:9" x14ac:dyDescent="0.25">
      <c r="A42" s="2" t="s">
        <v>59</v>
      </c>
      <c r="E42" s="50">
        <f>C35+NPV(B43,C36:C40)</f>
        <v>223.46885318262503</v>
      </c>
      <c r="F42" t="s">
        <v>61</v>
      </c>
    </row>
    <row r="43" spans="1:9" x14ac:dyDescent="0.25">
      <c r="A43" s="65" t="s">
        <v>63</v>
      </c>
      <c r="B43" s="63">
        <f>XIRR(C35:C40,B35:B40)</f>
        <v>0.21673325896263121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67" t="s">
        <v>68</v>
      </c>
      <c r="B1" s="67"/>
      <c r="C1" s="67"/>
      <c r="D1" s="67"/>
      <c r="E1" s="67"/>
      <c r="F1" s="67"/>
      <c r="G1" s="67"/>
    </row>
    <row r="2" spans="1:7" ht="107.25" customHeight="1" x14ac:dyDescent="0.25">
      <c r="A2" s="66" t="s">
        <v>69</v>
      </c>
    </row>
    <row r="3" spans="1:7" ht="105" customHeight="1" x14ac:dyDescent="0.25">
      <c r="A3" s="66" t="s">
        <v>70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68" t="s">
        <v>3</v>
      </c>
      <c r="B1" s="69"/>
      <c r="C1" s="70"/>
    </row>
    <row r="3" spans="1:4" x14ac:dyDescent="0.25">
      <c r="B3" s="71" t="s">
        <v>1</v>
      </c>
      <c r="C3" s="72"/>
      <c r="D3" s="73"/>
    </row>
    <row r="4" spans="1:4" x14ac:dyDescent="0.25">
      <c r="A4" s="74" t="s">
        <v>0</v>
      </c>
      <c r="B4" s="77" t="s">
        <v>2</v>
      </c>
      <c r="C4" s="78"/>
      <c r="D4" s="79"/>
    </row>
    <row r="5" spans="1:4" x14ac:dyDescent="0.25">
      <c r="A5" s="75"/>
      <c r="B5" s="80"/>
      <c r="C5" s="81"/>
      <c r="D5" s="82"/>
    </row>
    <row r="6" spans="1:4" x14ac:dyDescent="0.25">
      <c r="A6" s="75"/>
      <c r="B6" s="80"/>
      <c r="C6" s="81"/>
      <c r="D6" s="82"/>
    </row>
    <row r="7" spans="1:4" x14ac:dyDescent="0.25">
      <c r="A7" s="75"/>
      <c r="B7" s="80"/>
      <c r="C7" s="81"/>
      <c r="D7" s="82"/>
    </row>
    <row r="8" spans="1:4" x14ac:dyDescent="0.25">
      <c r="A8" s="75"/>
      <c r="B8" s="80"/>
      <c r="C8" s="81"/>
      <c r="D8" s="82"/>
    </row>
    <row r="9" spans="1:4" x14ac:dyDescent="0.25">
      <c r="A9" s="76"/>
      <c r="B9" s="83"/>
      <c r="C9" s="84"/>
      <c r="D9" s="85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NPV</vt:lpstr>
      <vt:lpstr>точность</vt:lpstr>
      <vt:lpstr>IRR</vt:lpstr>
      <vt:lpstr>ПС и ЧПС</vt:lpstr>
      <vt:lpstr>ЧИСТНЗ</vt:lpstr>
      <vt:lpstr>EXCEL2.RU</vt:lpstr>
      <vt:lpstr>Лист7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2015-04-19T18:04:47Z</dcterms:modified>
</cp:coreProperties>
</file>