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05" windowWidth="18975" windowHeight="11895" tabRatio="506" firstSheet="2" activeTab="2"/>
  </bookViews>
  <sheets>
    <sheet name="Лист7" sheetId="18" state="hidden" r:id="rId1"/>
    <sheet name="EXCEL2.RU (2)" sheetId="25" state="veryHidden" r:id="rId2"/>
    <sheet name="Вклад" sheetId="23" r:id="rId3"/>
    <sheet name="EXCEL2.RU" sheetId="24" r:id="rId4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L47" i="23" l="1"/>
  <c r="B22" i="23"/>
  <c r="M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B13" i="23"/>
  <c r="B12" i="23"/>
  <c r="C65" i="23" s="1"/>
  <c r="C61" i="23"/>
  <c r="C53" i="23"/>
  <c r="D65" i="23"/>
  <c r="D57" i="23"/>
  <c r="D49" i="23"/>
  <c r="E32" i="23"/>
  <c r="E40" i="23"/>
  <c r="E27" i="23"/>
  <c r="E35" i="23"/>
  <c r="D22" i="23"/>
  <c r="D28" i="23"/>
  <c r="D36" i="23"/>
  <c r="D31" i="23"/>
  <c r="D39" i="23"/>
  <c r="H22" i="23"/>
  <c r="C18" i="23"/>
  <c r="D35" i="23" l="1"/>
  <c r="D27" i="23"/>
  <c r="D25" i="23"/>
  <c r="D40" i="23"/>
  <c r="D32" i="23"/>
  <c r="E39" i="23"/>
  <c r="E31" i="23"/>
  <c r="E23" i="23"/>
  <c r="E36" i="23"/>
  <c r="E24" i="23"/>
  <c r="D53" i="23"/>
  <c r="D61" i="23"/>
  <c r="C49" i="23"/>
  <c r="C57" i="23"/>
  <c r="N47" i="23"/>
  <c r="C15" i="23"/>
  <c r="C63" i="23"/>
  <c r="C59" i="23"/>
  <c r="C55" i="23"/>
  <c r="C51" i="23"/>
  <c r="C47" i="23"/>
  <c r="G47" i="23" s="1"/>
  <c r="D63" i="23"/>
  <c r="D59" i="23"/>
  <c r="D55" i="23"/>
  <c r="D51" i="23"/>
  <c r="D47" i="23"/>
  <c r="E47" i="23" s="1"/>
  <c r="E28" i="23"/>
  <c r="E34" i="23"/>
  <c r="E38" i="23"/>
  <c r="B15" i="23"/>
  <c r="E25" i="23"/>
  <c r="E29" i="23"/>
  <c r="E33" i="23"/>
  <c r="E37" i="23"/>
  <c r="E41" i="23"/>
  <c r="D24" i="23"/>
  <c r="D30" i="23"/>
  <c r="D26" i="23"/>
  <c r="D38" i="23"/>
  <c r="D34" i="23"/>
  <c r="D23" i="23"/>
  <c r="H40" i="23" s="1"/>
  <c r="D29" i="23"/>
  <c r="D41" i="23"/>
  <c r="D37" i="23"/>
  <c r="D33" i="23"/>
  <c r="I24" i="23"/>
  <c r="I28" i="23"/>
  <c r="I32" i="23"/>
  <c r="I36" i="23"/>
  <c r="I40" i="23"/>
  <c r="I23" i="23"/>
  <c r="I27" i="23"/>
  <c r="I31" i="23"/>
  <c r="I35" i="23"/>
  <c r="I41" i="23"/>
  <c r="E30" i="23"/>
  <c r="E26" i="23"/>
  <c r="E22" i="23"/>
  <c r="D48" i="23"/>
  <c r="D50" i="23"/>
  <c r="D52" i="23"/>
  <c r="D54" i="23"/>
  <c r="D56" i="23"/>
  <c r="D58" i="23"/>
  <c r="D60" i="23"/>
  <c r="D62" i="23"/>
  <c r="D64" i="23"/>
  <c r="D66" i="23"/>
  <c r="C48" i="23"/>
  <c r="C50" i="23"/>
  <c r="C52" i="23"/>
  <c r="C54" i="23"/>
  <c r="C56" i="23"/>
  <c r="C58" i="23"/>
  <c r="C60" i="23"/>
  <c r="C62" i="23"/>
  <c r="C64" i="23"/>
  <c r="C66" i="23"/>
  <c r="C17" i="23" l="1"/>
  <c r="B47" i="23"/>
  <c r="C23" i="23"/>
  <c r="G23" i="23" s="1"/>
  <c r="C25" i="23"/>
  <c r="G25" i="23" s="1"/>
  <c r="C29" i="23"/>
  <c r="G29" i="23" s="1"/>
  <c r="C33" i="23"/>
  <c r="G33" i="23" s="1"/>
  <c r="C22" i="23"/>
  <c r="C30" i="23"/>
  <c r="G30" i="23" s="1"/>
  <c r="C34" i="23"/>
  <c r="G34" i="23" s="1"/>
  <c r="C38" i="23"/>
  <c r="G38" i="23" s="1"/>
  <c r="I22" i="23"/>
  <c r="I38" i="23"/>
  <c r="I33" i="23"/>
  <c r="B48" i="23"/>
  <c r="F48" i="23" s="1"/>
  <c r="B64" i="23"/>
  <c r="F64" i="23" s="1"/>
  <c r="B61" i="23"/>
  <c r="F61" i="23" s="1"/>
  <c r="B58" i="23"/>
  <c r="F58" i="23" s="1"/>
  <c r="B55" i="23"/>
  <c r="F55" i="23" s="1"/>
  <c r="B63" i="23"/>
  <c r="F63" i="23" s="1"/>
  <c r="B52" i="23"/>
  <c r="F52" i="23" s="1"/>
  <c r="B60" i="23"/>
  <c r="F60" i="23" s="1"/>
  <c r="B49" i="23"/>
  <c r="F49" i="23" s="1"/>
  <c r="B57" i="23"/>
  <c r="F57" i="23" s="1"/>
  <c r="B65" i="23"/>
  <c r="F65" i="23" s="1"/>
  <c r="B54" i="23"/>
  <c r="F54" i="23" s="1"/>
  <c r="B62" i="23"/>
  <c r="F62" i="23" s="1"/>
  <c r="C31" i="23"/>
  <c r="G31" i="23" s="1"/>
  <c r="C37" i="23"/>
  <c r="G37" i="23" s="1"/>
  <c r="C41" i="23"/>
  <c r="G41" i="23" s="1"/>
  <c r="C26" i="23"/>
  <c r="G26" i="23" s="1"/>
  <c r="C32" i="23"/>
  <c r="G32" i="23" s="1"/>
  <c r="C40" i="23"/>
  <c r="G40" i="23" s="1"/>
  <c r="I30" i="23"/>
  <c r="I25" i="23"/>
  <c r="J45" i="23"/>
  <c r="B51" i="23"/>
  <c r="F51" i="23" s="1"/>
  <c r="B59" i="23"/>
  <c r="F59" i="23" s="1"/>
  <c r="B56" i="23"/>
  <c r="F56" i="23" s="1"/>
  <c r="B53" i="23"/>
  <c r="F53" i="23" s="1"/>
  <c r="B50" i="23"/>
  <c r="F50" i="23" s="1"/>
  <c r="B66" i="23"/>
  <c r="F66" i="23" s="1"/>
  <c r="C27" i="23"/>
  <c r="G27" i="23" s="1"/>
  <c r="C35" i="23"/>
  <c r="G35" i="23" s="1"/>
  <c r="C39" i="23"/>
  <c r="G39" i="23" s="1"/>
  <c r="C24" i="23"/>
  <c r="G24" i="23" s="1"/>
  <c r="C28" i="23"/>
  <c r="G28" i="23" s="1"/>
  <c r="C36" i="23"/>
  <c r="G36" i="23" s="1"/>
  <c r="M49" i="23"/>
  <c r="M53" i="23"/>
  <c r="M57" i="23"/>
  <c r="M61" i="23"/>
  <c r="M65" i="23"/>
  <c r="M48" i="23"/>
  <c r="M52" i="23"/>
  <c r="M56" i="23"/>
  <c r="M60" i="23"/>
  <c r="M64" i="23"/>
  <c r="M55" i="23"/>
  <c r="M50" i="23"/>
  <c r="M66" i="23"/>
  <c r="M51" i="23"/>
  <c r="M59" i="23"/>
  <c r="M47" i="23"/>
  <c r="M54" i="23"/>
  <c r="M62" i="23"/>
  <c r="M63" i="23"/>
  <c r="M58" i="23"/>
  <c r="I26" i="23"/>
  <c r="I39" i="23"/>
  <c r="I37" i="23"/>
  <c r="H29" i="23"/>
  <c r="H37" i="23"/>
  <c r="H24" i="23"/>
  <c r="H32" i="23"/>
  <c r="B18" i="23"/>
  <c r="H27" i="23"/>
  <c r="H34" i="23"/>
  <c r="H23" i="23"/>
  <c r="H31" i="23"/>
  <c r="H35" i="23"/>
  <c r="H39" i="23"/>
  <c r="H26" i="23"/>
  <c r="H30" i="23"/>
  <c r="H38" i="23"/>
  <c r="D42" i="23"/>
  <c r="I34" i="23"/>
  <c r="I29" i="23"/>
  <c r="E8" i="23"/>
  <c r="H33" i="23"/>
  <c r="H41" i="23"/>
  <c r="H28" i="23"/>
  <c r="H36" i="23"/>
  <c r="H25" i="23"/>
  <c r="E42" i="23"/>
  <c r="F37" i="23"/>
  <c r="B38" i="23" s="1"/>
  <c r="F33" i="23"/>
  <c r="B34" i="23" s="1"/>
  <c r="F29" i="23"/>
  <c r="B30" i="23" s="1"/>
  <c r="F25" i="23"/>
  <c r="B26" i="23" s="1"/>
  <c r="F22" i="23"/>
  <c r="B23" i="23" s="1"/>
  <c r="F35" i="23"/>
  <c r="B36" i="23" s="1"/>
  <c r="F27" i="23"/>
  <c r="B28" i="23" s="1"/>
  <c r="F38" i="23"/>
  <c r="B39" i="23" s="1"/>
  <c r="F30" i="23"/>
  <c r="B31" i="23" s="1"/>
  <c r="F39" i="23"/>
  <c r="B40" i="23" s="1"/>
  <c r="F23" i="23"/>
  <c r="B24" i="23" s="1"/>
  <c r="F36" i="23"/>
  <c r="B37" i="23" s="1"/>
  <c r="F28" i="23"/>
  <c r="B29" i="23" s="1"/>
  <c r="F41" i="23"/>
  <c r="F34" i="23"/>
  <c r="B35" i="23" s="1"/>
  <c r="F26" i="23"/>
  <c r="B27" i="23" s="1"/>
  <c r="F31" i="23"/>
  <c r="B32" i="23" s="1"/>
  <c r="F40" i="23"/>
  <c r="B41" i="23" s="1"/>
  <c r="F32" i="23"/>
  <c r="B33" i="23" s="1"/>
  <c r="F24" i="23"/>
  <c r="B25" i="23" s="1"/>
  <c r="G59" i="23"/>
  <c r="G51" i="23"/>
  <c r="G62" i="23"/>
  <c r="G54" i="23"/>
  <c r="G65" i="23"/>
  <c r="G57" i="23"/>
  <c r="G49" i="23"/>
  <c r="G60" i="23"/>
  <c r="G52" i="23"/>
  <c r="G48" i="23"/>
  <c r="G63" i="23"/>
  <c r="G66" i="23"/>
  <c r="G50" i="23"/>
  <c r="G53" i="23"/>
  <c r="G56" i="23"/>
  <c r="G55" i="23"/>
  <c r="G58" i="23"/>
  <c r="G61" i="23"/>
  <c r="G64" i="23"/>
  <c r="C67" i="23"/>
  <c r="D67" i="23"/>
  <c r="E63" i="23"/>
  <c r="E55" i="23"/>
  <c r="E66" i="23"/>
  <c r="E58" i="23"/>
  <c r="E50" i="23"/>
  <c r="E61" i="23"/>
  <c r="E53" i="23"/>
  <c r="E64" i="23"/>
  <c r="E56" i="23"/>
  <c r="E48" i="23"/>
  <c r="E51" i="23"/>
  <c r="E54" i="23"/>
  <c r="E57" i="23"/>
  <c r="E60" i="23"/>
  <c r="E59" i="23"/>
  <c r="E62" i="23"/>
  <c r="E65" i="23"/>
  <c r="E49" i="23"/>
  <c r="E52" i="23"/>
  <c r="F47" i="23" l="1"/>
  <c r="B67" i="23"/>
  <c r="M67" i="23"/>
  <c r="M69" i="23" s="1"/>
  <c r="O47" i="23"/>
  <c r="L48" i="23" s="1"/>
  <c r="G22" i="23"/>
  <c r="C42" i="23"/>
  <c r="B17" i="23"/>
  <c r="B19" i="23" s="1"/>
  <c r="N48" i="23" l="1"/>
  <c r="O48" i="23" s="1"/>
  <c r="L49" i="23" s="1"/>
  <c r="N49" i="23" s="1"/>
  <c r="O49" i="23" s="1"/>
  <c r="L50" i="23" s="1"/>
  <c r="N50" i="23" s="1"/>
  <c r="O50" i="23" s="1"/>
  <c r="L51" i="23" s="1"/>
  <c r="N51" i="23" l="1"/>
  <c r="O51" i="23" s="1"/>
  <c r="L52" i="23" s="1"/>
  <c r="N52" i="23" l="1"/>
  <c r="O52" i="23" s="1"/>
  <c r="L53" i="23" s="1"/>
  <c r="N53" i="23" l="1"/>
  <c r="O53" i="23" s="1"/>
  <c r="L54" i="23" s="1"/>
  <c r="N54" i="23" l="1"/>
  <c r="O54" i="23" s="1"/>
  <c r="L55" i="23" s="1"/>
  <c r="N55" i="23" l="1"/>
  <c r="O55" i="23" s="1"/>
  <c r="L56" i="23" s="1"/>
  <c r="N56" i="23" l="1"/>
  <c r="O56" i="23" s="1"/>
  <c r="L57" i="23" s="1"/>
  <c r="N57" i="23" l="1"/>
  <c r="O57" i="23" s="1"/>
  <c r="L58" i="23" s="1"/>
  <c r="N58" i="23" l="1"/>
  <c r="O58" i="23" s="1"/>
  <c r="L59" i="23" s="1"/>
  <c r="N59" i="23" l="1"/>
  <c r="O59" i="23" s="1"/>
  <c r="L60" i="23" s="1"/>
  <c r="N60" i="23" l="1"/>
  <c r="O60" i="23" s="1"/>
  <c r="L61" i="23" s="1"/>
  <c r="N61" i="23" l="1"/>
  <c r="O61" i="23" s="1"/>
  <c r="L62" i="23" s="1"/>
  <c r="N62" i="23" l="1"/>
  <c r="O62" i="23" s="1"/>
  <c r="L63" i="23" s="1"/>
  <c r="N63" i="23" l="1"/>
  <c r="O63" i="23" s="1"/>
  <c r="L64" i="23" s="1"/>
  <c r="N64" i="23" l="1"/>
  <c r="O64" i="23" s="1"/>
  <c r="L65" i="23" s="1"/>
  <c r="N65" i="23" l="1"/>
  <c r="O65" i="23" s="1"/>
  <c r="L66" i="23" s="1"/>
  <c r="N66" i="23" l="1"/>
  <c r="N67" i="23" s="1"/>
  <c r="M70" i="23" s="1"/>
  <c r="M71" i="23" s="1"/>
  <c r="M72" i="23" s="1"/>
  <c r="O66" i="23" l="1"/>
  <c r="M74" i="23" l="1"/>
  <c r="M75" i="23"/>
  <c r="M76" i="23" s="1"/>
</calcChain>
</file>

<file path=xl/comments1.xml><?xml version="1.0" encoding="utf-8"?>
<comments xmlns="http://schemas.openxmlformats.org/spreadsheetml/2006/main">
  <authors>
    <author>Michael</author>
  </authors>
  <commentList>
    <comment ref="N47" authorId="0">
      <text>
        <r>
          <rPr>
            <b/>
            <sz val="9"/>
            <color indexed="81"/>
            <rFont val="Tahoma"/>
            <family val="2"/>
            <charset val="204"/>
          </rPr>
          <t>В первый период при тип=1 не происходит начисление % на начальную сумму вклада, т.к. банк фактически не пользовался этими деньгами</t>
        </r>
      </text>
    </comment>
  </commentList>
</comments>
</file>

<file path=xl/sharedStrings.xml><?xml version="1.0" encoding="utf-8"?>
<sst xmlns="http://schemas.openxmlformats.org/spreadsheetml/2006/main" count="73" uniqueCount="59">
  <si>
    <t>Названия строк</t>
  </si>
  <si>
    <t>Названия столбцов</t>
  </si>
  <si>
    <t>Значения</t>
  </si>
  <si>
    <t>Фильтр отчета</t>
  </si>
  <si>
    <t>type</t>
  </si>
  <si>
    <t>тип</t>
  </si>
  <si>
    <t>fv</t>
  </si>
  <si>
    <t>бс</t>
  </si>
  <si>
    <t>pv</t>
  </si>
  <si>
    <t>пс</t>
  </si>
  <si>
    <t>nper</t>
  </si>
  <si>
    <t>кпер</t>
  </si>
  <si>
    <t>Число периодов</t>
  </si>
  <si>
    <t>rate</t>
  </si>
  <si>
    <t>ставка</t>
  </si>
  <si>
    <t>% годовой</t>
  </si>
  <si>
    <t>Тип выплаты</t>
  </si>
  <si>
    <t>Параметр</t>
  </si>
  <si>
    <t>Значение</t>
  </si>
  <si>
    <t>Аргумент в ПЛТ()</t>
  </si>
  <si>
    <t>Срок вклада, лет</t>
  </si>
  <si>
    <t>% за период</t>
  </si>
  <si>
    <t>Период</t>
  </si>
  <si>
    <t>Аннуитетный график для накопления определённой суммы к заданному моменту времени</t>
  </si>
  <si>
    <t>Сумма вклада в конце периода</t>
  </si>
  <si>
    <t>Начисленный % за период</t>
  </si>
  <si>
    <t>Регулярный взнос</t>
  </si>
  <si>
    <t>Сумма вклада в конце периода, сформированная за счет %</t>
  </si>
  <si>
    <t>Сумма вклада в конце периода, сформированная за счет взносов</t>
  </si>
  <si>
    <t>Пополнение вклада за период (Взнос + %)</t>
  </si>
  <si>
    <t>Целевое значение вклада в конце срока (с учетом начального вклада)</t>
  </si>
  <si>
    <t>Всего пополнено за счет взносов</t>
  </si>
  <si>
    <t>Всего пополнено за счет %</t>
  </si>
  <si>
    <t>Сумма вклада в конце периода, сформированная за счет начального взноса</t>
  </si>
  <si>
    <t>Число взносов в год (капитализация процентов в год)</t>
  </si>
  <si>
    <t>Таблица для графиков</t>
  </si>
  <si>
    <t>Начальный вклад (вводите отрицательные значения)</t>
  </si>
  <si>
    <t>№</t>
  </si>
  <si>
    <t>0- в конце, 1 - в начале периода</t>
  </si>
  <si>
    <t>На начало периода</t>
  </si>
  <si>
    <t>На конец периода</t>
  </si>
  <si>
    <t>% начисляемый в начале 21 периода</t>
  </si>
  <si>
    <t>Разница между БС и Суммой на конец 20-го периода</t>
  </si>
  <si>
    <t>Для тип=1</t>
  </si>
  <si>
    <t>График прироста вклада без использования формул аннуитета</t>
  </si>
  <si>
    <t>Сумма вклада в начале периода</t>
  </si>
  <si>
    <t>Всего ПРИРОСТ вклада</t>
  </si>
  <si>
    <t>Вклад на конец последнего периода</t>
  </si>
  <si>
    <t>Вклад на начало следующего за последним периодом</t>
  </si>
  <si>
    <t>Для тип=0</t>
  </si>
  <si>
    <t>*В первый период при тип=1 не происходит начисление % на начальную сумму вклада, т.к. банк фактически не пользовался этими деньгами</t>
  </si>
  <si>
    <t>Начисленный % за период *</t>
  </si>
  <si>
    <t>Сумма вклада в конце периода2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</si>
  <si>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</si>
  <si>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</si>
  <si>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</si>
  <si>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</si>
  <si>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</si>
  <si>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Аннуитет. Расчет периодического платежа в MS EXCEL. Срочный вклад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</si>
</sst>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&quot;р.&quot;;[Red]\-#,##0.00&quot;р.&quot;"/>
    <numFmt numFmtId="164" formatCode="_(&quot;$&quot;* #,##0.00_);_(&quot;$&quot;* \(#,##0.00\);_(&quot;$&quot;* &quot;-&quot;??_);_(@_)"/>
    <numFmt numFmtId="165" formatCode="0.0%"/>
    <numFmt numFmtId="166" formatCode="0_ ;[Red]\-0\ "/>
    <numFmt numFmtId="167" formatCode="#,##0.00_ ;[Red]\-#,##0.00\ "/>
    <numFmt numFmtId="168" formatCode="0.00_ ;[Red]\-0.00\ "/>
    <numFmt numFmtId="169" formatCode="#,##0_ ;[Red]\-#,##0\ 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14" fillId="0" borderId="0"/>
    <xf numFmtId="0" fontId="15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" fillId="0" borderId="0" xfId="0" applyFont="1"/>
    <xf numFmtId="0" fontId="2" fillId="0" borderId="0" xfId="1"/>
    <xf numFmtId="0" fontId="0" fillId="0" borderId="12" xfId="0" applyBorder="1"/>
    <xf numFmtId="165" fontId="7" fillId="0" borderId="12" xfId="5" applyNumberFormat="1" applyFont="1" applyBorder="1"/>
    <xf numFmtId="0" fontId="7" fillId="0" borderId="12" xfId="0" applyFont="1" applyBorder="1"/>
    <xf numFmtId="0" fontId="1" fillId="0" borderId="12" xfId="0" applyFont="1" applyBorder="1"/>
    <xf numFmtId="4" fontId="7" fillId="0" borderId="12" xfId="0" applyNumberFormat="1" applyFont="1" applyBorder="1"/>
    <xf numFmtId="0" fontId="8" fillId="0" borderId="12" xfId="0" applyFont="1" applyBorder="1"/>
    <xf numFmtId="10" fontId="8" fillId="0" borderId="12" xfId="5" applyNumberFormat="1" applyFont="1" applyBorder="1"/>
    <xf numFmtId="1" fontId="7" fillId="0" borderId="12" xfId="5" applyNumberFormat="1" applyFont="1" applyBorder="1"/>
    <xf numFmtId="3" fontId="7" fillId="0" borderId="12" xfId="0" applyNumberFormat="1" applyFont="1" applyBorder="1"/>
    <xf numFmtId="0" fontId="0" fillId="0" borderId="12" xfId="0" applyBorder="1" applyAlignment="1">
      <alignment wrapText="1"/>
    </xf>
    <xf numFmtId="4" fontId="0" fillId="0" borderId="0" xfId="0" applyNumberFormat="1"/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166" fontId="0" fillId="0" borderId="0" xfId="0" applyNumberFormat="1"/>
    <xf numFmtId="167" fontId="0" fillId="0" borderId="0" xfId="0" applyNumberFormat="1"/>
    <xf numFmtId="167" fontId="9" fillId="0" borderId="0" xfId="0" applyNumberFormat="1" applyFont="1"/>
    <xf numFmtId="0" fontId="1" fillId="0" borderId="12" xfId="0" applyFont="1" applyFill="1" applyBorder="1" applyAlignment="1">
      <alignment wrapText="1"/>
    </xf>
    <xf numFmtId="8" fontId="1" fillId="0" borderId="12" xfId="0" applyNumberFormat="1" applyFont="1" applyBorder="1"/>
    <xf numFmtId="0" fontId="0" fillId="0" borderId="0" xfId="0" applyBorder="1"/>
    <xf numFmtId="167" fontId="10" fillId="0" borderId="0" xfId="0" applyNumberFormat="1" applyFont="1"/>
    <xf numFmtId="167" fontId="1" fillId="0" borderId="0" xfId="0" applyNumberFormat="1" applyFont="1"/>
    <xf numFmtId="167" fontId="0" fillId="0" borderId="0" xfId="0" applyNumberFormat="1" applyFont="1" applyFill="1"/>
    <xf numFmtId="168" fontId="0" fillId="0" borderId="0" xfId="0" applyNumberFormat="1"/>
    <xf numFmtId="8" fontId="0" fillId="0" borderId="0" xfId="0" applyNumberFormat="1" applyBorder="1"/>
    <xf numFmtId="167" fontId="0" fillId="0" borderId="12" xfId="0" applyNumberFormat="1" applyBorder="1"/>
    <xf numFmtId="169" fontId="0" fillId="0" borderId="12" xfId="0" applyNumberFormat="1" applyBorder="1"/>
    <xf numFmtId="167" fontId="0" fillId="2" borderId="12" xfId="0" applyNumberFormat="1" applyFill="1" applyBorder="1"/>
    <xf numFmtId="167" fontId="1" fillId="0" borderId="12" xfId="0" applyNumberFormat="1" applyFont="1" applyBorder="1" applyAlignment="1">
      <alignment vertical="top"/>
    </xf>
    <xf numFmtId="167" fontId="1" fillId="0" borderId="12" xfId="0" applyNumberFormat="1" applyFont="1" applyBorder="1" applyAlignment="1">
      <alignment vertical="top" wrapText="1"/>
    </xf>
    <xf numFmtId="167" fontId="1" fillId="3" borderId="12" xfId="0" applyNumberFormat="1" applyFont="1" applyFill="1" applyBorder="1"/>
    <xf numFmtId="167" fontId="0" fillId="0" borderId="0" xfId="0" applyNumberFormat="1" applyFill="1" applyBorder="1"/>
    <xf numFmtId="0" fontId="0" fillId="0" borderId="0" xfId="0" applyFont="1" applyAlignment="1">
      <alignment horizontal="left"/>
    </xf>
    <xf numFmtId="8" fontId="0" fillId="0" borderId="0" xfId="0" applyNumberFormat="1"/>
    <xf numFmtId="0" fontId="0" fillId="4" borderId="0" xfId="0" applyFill="1" applyAlignment="1">
      <alignment vertical="top" wrapText="1"/>
    </xf>
    <xf numFmtId="0" fontId="13" fillId="6" borderId="0" xfId="1" applyFont="1" applyFill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5" borderId="0" xfId="4" applyFont="1" applyFill="1" applyAlignment="1" applyProtection="1">
      <alignment horizontal="center" vertical="center"/>
    </xf>
    <xf numFmtId="0" fontId="12" fillId="5" borderId="0" xfId="8" applyFont="1" applyFill="1" applyAlignment="1" applyProtection="1">
      <alignment vertical="center"/>
    </xf>
    <xf numFmtId="0" fontId="16" fillId="7" borderId="0" xfId="0" applyFont="1" applyFill="1" applyAlignment="1"/>
    <xf numFmtId="0" fontId="17" fillId="7" borderId="0" xfId="0" applyFont="1" applyFill="1" applyAlignment="1">
      <alignment vertical="center"/>
    </xf>
    <xf numFmtId="0" fontId="5" fillId="7" borderId="0" xfId="4" applyFill="1" applyAlignment="1" applyProtection="1"/>
  </cellXfs>
  <cellStyles count="9">
    <cellStyle name="Currency_TapePivot" xfId="3"/>
    <cellStyle name="Normal_ALLOC1" xfId="6"/>
    <cellStyle name="Гиперссылка" xfId="4" builtinId="8"/>
    <cellStyle name="Гиперссылка 2" xfId="2"/>
    <cellStyle name="Гиперссылка 3" xfId="8"/>
    <cellStyle name="Обычный" xfId="0" builtinId="0"/>
    <cellStyle name="Обычный 2" xfId="1"/>
    <cellStyle name="Обычный 3" xfId="7"/>
    <cellStyle name="Процентный" xfId="5" builtinId="5"/>
  </cellStyles>
  <dxfs count="36">
    <dxf>
      <numFmt numFmtId="168" formatCode="0.00_ ;[Red]\-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#,##0.00_ ;[Red]\-#,##0.00\ 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#,##0.00_ ;[Red]\-#,##0.00\ 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#,##0.00_ ;[Red]\-#,##0.00\ "/>
    </dxf>
    <dxf>
      <numFmt numFmtId="167" formatCode="#,##0.00_ ;[Red]\-#,##0.00\ "/>
    </dxf>
    <dxf>
      <numFmt numFmtId="167" formatCode="#,##0.00_ ;[Red]\-#,##0.0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_ ;[Red]\-#,##0.00\ "/>
    </dxf>
    <dxf>
      <numFmt numFmtId="167" formatCode="#,##0.00_ ;[Red]\-#,##0.0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_ ;[Red]\-#,##0.00\ "/>
    </dxf>
    <dxf>
      <numFmt numFmtId="167" formatCode="#,##0.00_ ;[Red]\-#,##0.0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_ ;[Red]\-#,##0.00\ "/>
    </dxf>
    <dxf>
      <numFmt numFmtId="167" formatCode="#,##0.00_ ;[Red]\-#,##0.00\ "/>
    </dxf>
    <dxf>
      <numFmt numFmtId="166" formatCode="0_ ;[Red]\-0\ "/>
    </dxf>
    <dxf>
      <numFmt numFmtId="166" formatCode="0_ ;[Red]\-0\ "/>
    </dxf>
    <dxf>
      <numFmt numFmtId="168" formatCode="0.00_ ;[Red]\-0.00\ "/>
    </dxf>
    <dxf>
      <alignment horizontal="general" vertical="top" textRotation="0" wrapText="1" indent="0" justifyLastLine="0" shrinkToFit="0" readingOrder="0"/>
    </dxf>
    <dxf>
      <numFmt numFmtId="167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#,##0.00_ ;[Red]\-#,##0.00\ 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#,##0.00_ ;[Red]\-#,##0.00\ 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7" formatCode="#,##0.00_ ;[Red]\-#,##0.00\ "/>
    </dxf>
    <dxf>
      <numFmt numFmtId="167" formatCode="#,##0.00_ ;[Red]\-#,##0.00\ "/>
    </dxf>
    <dxf>
      <numFmt numFmtId="167" formatCode="#,##0.00_ ;[Red]\-#,##0.0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_ ;[Red]\-#,##0.00\ "/>
    </dxf>
    <dxf>
      <numFmt numFmtId="167" formatCode="#,##0.00_ ;[Red]\-#,##0.0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_ ;[Red]\-#,##0.00\ "/>
    </dxf>
    <dxf>
      <numFmt numFmtId="167" formatCode="#,##0.00_ ;[Red]\-#,##0.0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.00_ ;[Red]\-#,##0.00\ "/>
    </dxf>
    <dxf>
      <numFmt numFmtId="167" formatCode="#,##0.00_ ;[Red]\-#,##0.00\ "/>
    </dxf>
    <dxf>
      <numFmt numFmtId="166" formatCode="0_ ;[Red]\-0\ "/>
    </dxf>
    <dxf>
      <numFmt numFmtId="167" formatCode="#,##0.00_ ;[Red]\-#,##0.00\ "/>
    </dxf>
    <dxf>
      <numFmt numFmtId="166" formatCode="0_ ;[Red]\-0\ "/>
    </dxf>
    <dxf>
      <numFmt numFmtId="166" formatCode="0_ ;[Red]\-0\ "/>
    </dxf>
    <dxf>
      <numFmt numFmtId="168" formatCode="0.00_ ;[Red]\-0.00\ "/>
    </dxf>
    <dxf>
      <alignment horizontal="general" vertical="top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График пополнения вклада (аннуитет)</a:t>
            </a:r>
          </a:p>
        </c:rich>
      </c:tx>
      <c:layout>
        <c:manualLayout>
          <c:xMode val="edge"/>
          <c:yMode val="edge"/>
          <c:x val="0.34709622283867969"/>
          <c:y val="4.6865846514352667E-2"/>
        </c:manualLayout>
      </c:layout>
      <c:overlay val="1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Вклад!$B$46</c:f>
              <c:strCache>
                <c:ptCount val="1"/>
                <c:pt idx="0">
                  <c:v>Регулярный взнос</c:v>
                </c:pt>
              </c:strCache>
            </c:strRef>
          </c:tx>
          <c:invertIfNegative val="0"/>
          <c:cat>
            <c:numRef>
              <c:f>Вклад!$A$47:$A$66</c:f>
              <c:numCache>
                <c:formatCode>0_ ;[Red]\-0\ 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Вклад!$B$47:$B$66</c:f>
              <c:numCache>
                <c:formatCode>#,##0.00_ ;[Red]\-#,##0.00\ </c:formatCode>
                <c:ptCount val="20"/>
                <c:pt idx="0">
                  <c:v>32732.415861027002</c:v>
                </c:pt>
                <c:pt idx="1">
                  <c:v>32732.415861027002</c:v>
                </c:pt>
                <c:pt idx="2">
                  <c:v>32732.415861027002</c:v>
                </c:pt>
                <c:pt idx="3">
                  <c:v>32732.415861027002</c:v>
                </c:pt>
                <c:pt idx="4">
                  <c:v>32732.415861027002</c:v>
                </c:pt>
                <c:pt idx="5">
                  <c:v>32732.415861027002</c:v>
                </c:pt>
                <c:pt idx="6">
                  <c:v>32732.415861027002</c:v>
                </c:pt>
                <c:pt idx="7">
                  <c:v>32732.415861027002</c:v>
                </c:pt>
                <c:pt idx="8">
                  <c:v>32732.415861027002</c:v>
                </c:pt>
                <c:pt idx="9">
                  <c:v>32732.415861027002</c:v>
                </c:pt>
                <c:pt idx="10">
                  <c:v>32732.415861027002</c:v>
                </c:pt>
                <c:pt idx="11">
                  <c:v>32732.415861027002</c:v>
                </c:pt>
                <c:pt idx="12">
                  <c:v>32732.415861027002</c:v>
                </c:pt>
                <c:pt idx="13">
                  <c:v>32732.415861027002</c:v>
                </c:pt>
                <c:pt idx="14">
                  <c:v>32732.415861027002</c:v>
                </c:pt>
                <c:pt idx="15">
                  <c:v>32732.415861027002</c:v>
                </c:pt>
                <c:pt idx="16">
                  <c:v>32732.415861027002</c:v>
                </c:pt>
                <c:pt idx="17">
                  <c:v>32732.415861027002</c:v>
                </c:pt>
                <c:pt idx="18">
                  <c:v>32732.415861027002</c:v>
                </c:pt>
                <c:pt idx="19">
                  <c:v>32732.415861027002</c:v>
                </c:pt>
              </c:numCache>
            </c:numRef>
          </c:val>
        </c:ser>
        <c:ser>
          <c:idx val="2"/>
          <c:order val="1"/>
          <c:tx>
            <c:strRef>
              <c:f>Вклад!$C$46</c:f>
              <c:strCache>
                <c:ptCount val="1"/>
                <c:pt idx="0">
                  <c:v>Начисленный % за период</c:v>
                </c:pt>
              </c:strCache>
            </c:strRef>
          </c:tx>
          <c:invertIfNegative val="0"/>
          <c:cat>
            <c:numRef>
              <c:f>Вклад!$A$47:$A$66</c:f>
              <c:numCache>
                <c:formatCode>0_ ;[Red]\-0\ 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Вклад!$C$47:$C$66</c:f>
              <c:numCache>
                <c:formatCode>#,##0.00_ ;[Red]\-#,##0.00\ </c:formatCode>
                <c:ptCount val="20"/>
                <c:pt idx="0">
                  <c:v>2500.0000000000032</c:v>
                </c:pt>
                <c:pt idx="1">
                  <c:v>3380.8103965256742</c:v>
                </c:pt>
                <c:pt idx="2">
                  <c:v>4283.6410529644954</c:v>
                </c:pt>
                <c:pt idx="3">
                  <c:v>5209.0424758142826</c:v>
                </c:pt>
                <c:pt idx="4">
                  <c:v>6157.5789342353155</c:v>
                </c:pt>
                <c:pt idx="5">
                  <c:v>7129.8288041168707</c:v>
                </c:pt>
                <c:pt idx="6">
                  <c:v>8126.3849207454687</c:v>
                </c:pt>
                <c:pt idx="7">
                  <c:v>9147.8549402897825</c:v>
                </c:pt>
                <c:pt idx="8">
                  <c:v>10194.861710322701</c:v>
                </c:pt>
                <c:pt idx="9">
                  <c:v>11268.043649606445</c:v>
                </c:pt>
                <c:pt idx="10">
                  <c:v>12368.055137372281</c:v>
                </c:pt>
                <c:pt idx="11">
                  <c:v>13495.566912332266</c:v>
                </c:pt>
                <c:pt idx="12">
                  <c:v>14651.266481666244</c:v>
                </c:pt>
                <c:pt idx="13">
                  <c:v>15835.858540233574</c:v>
                </c:pt>
                <c:pt idx="14">
                  <c:v>17050.065400265092</c:v>
                </c:pt>
                <c:pt idx="15">
                  <c:v>18294.627431797395</c:v>
                </c:pt>
                <c:pt idx="16">
                  <c:v>19570.303514118004</c:v>
                </c:pt>
                <c:pt idx="17">
                  <c:v>20877.871498496628</c:v>
                </c:pt>
                <c:pt idx="18">
                  <c:v>22218.128682484719</c:v>
                </c:pt>
                <c:pt idx="19">
                  <c:v>23591.892296072514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1993088"/>
        <c:axId val="118414336"/>
      </c:barChart>
      <c:catAx>
        <c:axId val="101993088"/>
        <c:scaling>
          <c:orientation val="minMax"/>
        </c:scaling>
        <c:delete val="0"/>
        <c:axPos val="b"/>
        <c:numFmt formatCode="0_ ;[Red]\-0\ " sourceLinked="1"/>
        <c:majorTickMark val="out"/>
        <c:minorTickMark val="none"/>
        <c:tickLblPos val="nextTo"/>
        <c:crossAx val="118414336"/>
        <c:crosses val="autoZero"/>
        <c:auto val="1"/>
        <c:lblAlgn val="ctr"/>
        <c:lblOffset val="100"/>
        <c:noMultiLvlLbl val="0"/>
      </c:catAx>
      <c:valAx>
        <c:axId val="118414336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19930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Сумма вклада на конец периода</a:t>
            </a:r>
          </a:p>
        </c:rich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Вклад!$H$46</c:f>
              <c:strCache>
                <c:ptCount val="1"/>
                <c:pt idx="0">
                  <c:v>Сумма вклада в конце периода, сформированная за счет начального взноса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Вклад!$H$47:$H$66</c:f>
              <c:numCache>
                <c:formatCode>0.00_ ;[Red]\-0.00\ </c:formatCode>
                <c:ptCount val="20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100000</c:v>
                </c:pt>
              </c:numCache>
            </c:numRef>
          </c:val>
        </c:ser>
        <c:ser>
          <c:idx val="0"/>
          <c:order val="1"/>
          <c:tx>
            <c:strRef>
              <c:f>Вклад!$F$46</c:f>
              <c:strCache>
                <c:ptCount val="1"/>
                <c:pt idx="0">
                  <c:v>Сумма вклада в конце периода, сформированная за счет взносов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Вклад!$F$47:$F$66</c:f>
              <c:numCache>
                <c:formatCode>#,##0.00_ ;[Red]\-#,##0.00\ </c:formatCode>
                <c:ptCount val="20"/>
                <c:pt idx="0">
                  <c:v>32732.415861027002</c:v>
                </c:pt>
                <c:pt idx="1">
                  <c:v>65464.831722054005</c:v>
                </c:pt>
                <c:pt idx="2">
                  <c:v>98197.247583081014</c:v>
                </c:pt>
                <c:pt idx="3">
                  <c:v>130929.66344410801</c:v>
                </c:pt>
                <c:pt idx="4">
                  <c:v>163662.079305135</c:v>
                </c:pt>
                <c:pt idx="5">
                  <c:v>196394.49516616203</c:v>
                </c:pt>
                <c:pt idx="6">
                  <c:v>229126.91102718902</c:v>
                </c:pt>
                <c:pt idx="7">
                  <c:v>261859.32688821602</c:v>
                </c:pt>
                <c:pt idx="8">
                  <c:v>294591.74274924304</c:v>
                </c:pt>
                <c:pt idx="9">
                  <c:v>327324.15861027001</c:v>
                </c:pt>
                <c:pt idx="10">
                  <c:v>360056.57447129703</c:v>
                </c:pt>
                <c:pt idx="11">
                  <c:v>392788.99033232406</c:v>
                </c:pt>
                <c:pt idx="12">
                  <c:v>425521.40619335102</c:v>
                </c:pt>
                <c:pt idx="13">
                  <c:v>458253.82205437805</c:v>
                </c:pt>
                <c:pt idx="14">
                  <c:v>490986.23791540501</c:v>
                </c:pt>
                <c:pt idx="15">
                  <c:v>523718.65377643204</c:v>
                </c:pt>
                <c:pt idx="16">
                  <c:v>556451.069637459</c:v>
                </c:pt>
                <c:pt idx="17">
                  <c:v>589183.48549848609</c:v>
                </c:pt>
                <c:pt idx="18">
                  <c:v>621915.90135951305</c:v>
                </c:pt>
                <c:pt idx="19">
                  <c:v>654648.31722054002</c:v>
                </c:pt>
              </c:numCache>
            </c:numRef>
          </c:val>
        </c:ser>
        <c:ser>
          <c:idx val="1"/>
          <c:order val="2"/>
          <c:tx>
            <c:strRef>
              <c:f>Вклад!$G$46</c:f>
              <c:strCache>
                <c:ptCount val="1"/>
                <c:pt idx="0">
                  <c:v>Сумма вклада в конце периода, сформированная за счет %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Вклад!$G$47:$G$66</c:f>
              <c:numCache>
                <c:formatCode>#,##0.00_ ;[Red]\-#,##0.00\ </c:formatCode>
                <c:ptCount val="20"/>
                <c:pt idx="0">
                  <c:v>2500.0000000000032</c:v>
                </c:pt>
                <c:pt idx="1">
                  <c:v>5880.8103965256778</c:v>
                </c:pt>
                <c:pt idx="2">
                  <c:v>10164.451449490174</c:v>
                </c:pt>
                <c:pt idx="3">
                  <c:v>15373.493925304458</c:v>
                </c:pt>
                <c:pt idx="4">
                  <c:v>21531.072859539774</c:v>
                </c:pt>
                <c:pt idx="5">
                  <c:v>28660.901663656645</c:v>
                </c:pt>
                <c:pt idx="6">
                  <c:v>36787.286584402114</c:v>
                </c:pt>
                <c:pt idx="7">
                  <c:v>45935.141524691899</c:v>
                </c:pt>
                <c:pt idx="8">
                  <c:v>56130.003235014599</c:v>
                </c:pt>
                <c:pt idx="9">
                  <c:v>67398.046884621042</c:v>
                </c:pt>
                <c:pt idx="10">
                  <c:v>79766.102021993327</c:v>
                </c:pt>
                <c:pt idx="11">
                  <c:v>93261.6689343256</c:v>
                </c:pt>
                <c:pt idx="12">
                  <c:v>107912.93541599184</c:v>
                </c:pt>
                <c:pt idx="13">
                  <c:v>123748.79395622542</c:v>
                </c:pt>
                <c:pt idx="14">
                  <c:v>140798.85935649052</c:v>
                </c:pt>
                <c:pt idx="15">
                  <c:v>159093.4867882879</c:v>
                </c:pt>
                <c:pt idx="16">
                  <c:v>178663.79030240592</c:v>
                </c:pt>
                <c:pt idx="17">
                  <c:v>199541.66180090254</c:v>
                </c:pt>
                <c:pt idx="18">
                  <c:v>221759.79048338725</c:v>
                </c:pt>
                <c:pt idx="19">
                  <c:v>245351.68277945975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210432"/>
        <c:axId val="128212352"/>
      </c:barChart>
      <c:catAx>
        <c:axId val="128210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28212352"/>
        <c:crosses val="autoZero"/>
        <c:auto val="1"/>
        <c:lblAlgn val="ctr"/>
        <c:lblOffset val="100"/>
        <c:noMultiLvlLbl val="0"/>
      </c:catAx>
      <c:valAx>
        <c:axId val="1282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82104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73398</xdr:colOff>
      <xdr:row>0</xdr:row>
      <xdr:rowOff>97492</xdr:rowOff>
    </xdr:from>
    <xdr:to>
      <xdr:col>14</xdr:col>
      <xdr:colOff>414618</xdr:colOff>
      <xdr:row>12</xdr:row>
      <xdr:rowOff>78442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168088</xdr:colOff>
      <xdr:row>20</xdr:row>
      <xdr:rowOff>64994</xdr:rowOff>
    </xdr:from>
    <xdr:to>
      <xdr:col>19</xdr:col>
      <xdr:colOff>560294</xdr:colOff>
      <xdr:row>37</xdr:row>
      <xdr:rowOff>179294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Таблица" displayName="Таблица" ref="A21:I42" totalsRowCount="1" headerRowDxfId="35" dataDxfId="34">
  <autoFilter ref="A21:I41"/>
  <tableColumns count="9">
    <tableColumn id="1" name="Период" dataDxfId="33" totalsRowDxfId="32"/>
    <tableColumn id="8" name="Сумма вклада в начале периода" dataDxfId="31" totalsRowDxfId="30">
      <calculatedColumnFormula>F21</calculatedColumnFormula>
    </tableColumn>
    <tableColumn id="2" name="Регулярный взнос" totalsRowFunction="sum" dataDxfId="29" totalsRowDxfId="28">
      <calculatedColumnFormula>$B$15</calculatedColumnFormula>
    </tableColumn>
    <tableColumn id="3" name="Начисленный % за период" totalsRowFunction="sum" dataDxfId="27" totalsRowDxfId="26">
      <calculatedColumnFormula>IPMT($B$12,A22,$B$13,$B$7,$B$8,$B$14)</calculatedColumnFormula>
    </tableColumn>
    <tableColumn id="4" name="Пополнение вклада за период (Взнос + %)" totalsRowFunction="sum" dataDxfId="25" totalsRowDxfId="24">
      <calculatedColumnFormula>PPMT($B$12,A22,$B$13,$B$7,$B$8,$B$14)</calculatedColumnFormula>
    </tableColumn>
    <tableColumn id="5" name="Сумма вклада в конце периода" dataDxfId="23" totalsRowDxfId="22">
      <calculatedColumnFormula>SUM($E$21:E22)+$B$7</calculatedColumnFormula>
    </tableColumn>
    <tableColumn id="6" name="Сумма вклада в конце периода, сформированная за счет взносов" dataDxfId="21" totalsRowDxfId="20">
      <calculatedColumnFormula>Таблица[[#This Row],[Регулярный взнос]]*Таблица[[#This Row],[Период]]</calculatedColumnFormula>
    </tableColumn>
    <tableColumn id="7" name="Сумма вклада в конце периода, сформированная за счет %" dataDxfId="19" totalsRowDxfId="18">
      <calculatedColumnFormula>SUM($D$21:D22)</calculatedColumnFormula>
    </tableColumn>
    <tableColumn id="9" name="Сумма вклада в конце периода2" dataDxfId="17">
      <calculatedColumnFormula>-FV($B$12,A22,$B$15,$B$7,$B$14)/(1+$B$14*$B$12)</calculatedColumnFormula>
    </tableColumn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1" name="Таблица2" displayName="Таблица2" ref="A46:H67" totalsRowCount="1" headerRowDxfId="16" dataDxfId="15">
  <autoFilter ref="A46:H66"/>
  <tableColumns count="8">
    <tableColumn id="1" name="Период" dataDxfId="14" totalsRowDxfId="13"/>
    <tableColumn id="2" name="Регулярный взнос" totalsRowFunction="sum" dataDxfId="12" totalsRowDxfId="11">
      <calculatedColumnFormula>-$B$15</calculatedColumnFormula>
    </tableColumn>
    <tableColumn id="3" name="Начисленный % за период" totalsRowFunction="sum" dataDxfId="10" totalsRowDxfId="9">
      <calculatedColumnFormula>IPMT($B$12,A47,$B$13,$B$7,$B$8,$B$14)</calculatedColumnFormula>
    </tableColumn>
    <tableColumn id="4" name="Пополнение вклада за период (Взнос + %)" totalsRowFunction="sum" dataDxfId="8" totalsRowDxfId="7">
      <calculatedColumnFormula>PPMT($B$12,A47,$B$13,$B$7,$B$8,$B$14)</calculatedColumnFormula>
    </tableColumn>
    <tableColumn id="5" name="Сумма вклада в конце периода" dataDxfId="6" totalsRowDxfId="5">
      <calculatedColumnFormula>SUM($D$46:D47)+$B$7</calculatedColumnFormula>
    </tableColumn>
    <tableColumn id="6" name="Сумма вклада в конце периода, сформированная за счет взносов" dataDxfId="4" totalsRowDxfId="3">
      <calculatedColumnFormula>Таблица2[[#This Row],[Регулярный взнос]]*Таблица2[[#This Row],[Период]]</calculatedColumnFormula>
    </tableColumn>
    <tableColumn id="7" name="Сумма вклада в конце периода, сформированная за счет %" dataDxfId="2" totalsRowDxfId="1">
      <calculatedColumnFormula>SUM($C$46:C47)</calculatedColumnFormula>
    </tableColumn>
    <tableColumn id="8" name="Сумма вклада в конце периода, сформированная за счет начального взноса" dataDxfId="0">
      <calculatedColumnFormula>-$B$7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2.bin"/><Relationship Id="rId7" Type="http://schemas.openxmlformats.org/officeDocument/2006/relationships/table" Target="../tables/table2.xml"/><Relationship Id="rId2" Type="http://schemas.openxmlformats.org/officeDocument/2006/relationships/hyperlink" Target="http://excel2.ru/articles/annuitet-raschet-periodicheskogo-platezha-v-ms-excel-srochnyy-vklad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workbookViewId="0">
      <selection activeCell="D30" sqref="D30"/>
    </sheetView>
  </sheetViews>
  <sheetFormatPr defaultRowHeight="15" x14ac:dyDescent="0.25"/>
  <cols>
    <col min="1" max="1" width="10.7109375" customWidth="1"/>
  </cols>
  <sheetData>
    <row r="1" spans="1:4" x14ac:dyDescent="0.25">
      <c r="A1" s="38" t="s">
        <v>3</v>
      </c>
      <c r="B1" s="39"/>
      <c r="C1" s="40"/>
    </row>
    <row r="3" spans="1:4" x14ac:dyDescent="0.25">
      <c r="B3" s="41" t="s">
        <v>1</v>
      </c>
      <c r="C3" s="42"/>
      <c r="D3" s="43"/>
    </row>
    <row r="4" spans="1:4" x14ac:dyDescent="0.25">
      <c r="A4" s="44" t="s">
        <v>0</v>
      </c>
      <c r="B4" s="47" t="s">
        <v>2</v>
      </c>
      <c r="C4" s="48"/>
      <c r="D4" s="49"/>
    </row>
    <row r="5" spans="1:4" x14ac:dyDescent="0.25">
      <c r="A5" s="45"/>
      <c r="B5" s="50"/>
      <c r="C5" s="51"/>
      <c r="D5" s="52"/>
    </row>
    <row r="6" spans="1:4" x14ac:dyDescent="0.25">
      <c r="A6" s="45"/>
      <c r="B6" s="50"/>
      <c r="C6" s="51"/>
      <c r="D6" s="52"/>
    </row>
    <row r="7" spans="1:4" x14ac:dyDescent="0.25">
      <c r="A7" s="45"/>
      <c r="B7" s="50"/>
      <c r="C7" s="51"/>
      <c r="D7" s="52"/>
    </row>
    <row r="8" spans="1:4" x14ac:dyDescent="0.25">
      <c r="A8" s="45"/>
      <c r="B8" s="50"/>
      <c r="C8" s="51"/>
      <c r="D8" s="52"/>
    </row>
    <row r="9" spans="1:4" x14ac:dyDescent="0.25">
      <c r="A9" s="46"/>
      <c r="B9" s="53"/>
      <c r="C9" s="54"/>
      <c r="D9" s="55"/>
    </row>
  </sheetData>
  <mergeCells count="4">
    <mergeCell ref="A1:C1"/>
    <mergeCell ref="B3:D3"/>
    <mergeCell ref="A4:A9"/>
    <mergeCell ref="B4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56" t="s">
        <v>53</v>
      </c>
      <c r="B1" s="56"/>
      <c r="C1" s="56"/>
      <c r="D1" s="56"/>
      <c r="E1" s="56"/>
      <c r="F1" s="56"/>
      <c r="G1" s="56"/>
    </row>
    <row r="2" spans="1:7" ht="107.25" customHeight="1" x14ac:dyDescent="0.25">
      <c r="A2" s="37" t="s">
        <v>54</v>
      </c>
    </row>
    <row r="3" spans="1:7" ht="105" customHeight="1" x14ac:dyDescent="0.25">
      <c r="A3" s="37" t="s">
        <v>55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P76"/>
  <sheetViews>
    <sheetView tabSelected="1" zoomScale="85" zoomScaleNormal="85" workbookViewId="0">
      <selection activeCell="F7" sqref="F7"/>
    </sheetView>
  </sheetViews>
  <sheetFormatPr defaultRowHeight="15" x14ac:dyDescent="0.25"/>
  <cols>
    <col min="1" max="1" width="20.42578125" customWidth="1"/>
    <col min="2" max="2" width="13.5703125" customWidth="1"/>
    <col min="3" max="3" width="14.7109375" customWidth="1"/>
    <col min="4" max="4" width="18.28515625" customWidth="1"/>
    <col min="5" max="5" width="18" bestFit="1" customWidth="1"/>
    <col min="6" max="6" width="16.85546875" customWidth="1"/>
    <col min="7" max="7" width="22.140625" customWidth="1"/>
    <col min="8" max="8" width="27.85546875" customWidth="1"/>
    <col min="9" max="9" width="13.42578125" customWidth="1"/>
    <col min="10" max="10" width="13.5703125" bestFit="1" customWidth="1"/>
    <col min="11" max="11" width="9.42578125" bestFit="1" customWidth="1"/>
    <col min="12" max="12" width="13.5703125" customWidth="1"/>
    <col min="13" max="13" width="12.28515625" bestFit="1" customWidth="1"/>
    <col min="14" max="14" width="14.140625" customWidth="1"/>
    <col min="15" max="15" width="13.140625" bestFit="1" customWidth="1"/>
  </cols>
  <sheetData>
    <row r="1" spans="1:7" ht="26.25" x14ac:dyDescent="0.25">
      <c r="A1" s="57" t="s">
        <v>56</v>
      </c>
      <c r="B1" s="57"/>
      <c r="C1" s="57"/>
      <c r="D1" s="57"/>
      <c r="E1" s="57"/>
      <c r="F1" s="57"/>
      <c r="G1" s="57"/>
    </row>
    <row r="2" spans="1:7" ht="15.75" x14ac:dyDescent="0.25">
      <c r="A2" s="60" t="s">
        <v>57</v>
      </c>
      <c r="B2" s="58"/>
      <c r="C2" s="58"/>
      <c r="D2" s="58"/>
      <c r="E2" s="58"/>
      <c r="F2" s="58"/>
      <c r="G2" s="58"/>
    </row>
    <row r="3" spans="1:7" ht="18.75" x14ac:dyDescent="0.25">
      <c r="A3" s="59" t="s">
        <v>58</v>
      </c>
      <c r="B3" s="59"/>
      <c r="C3" s="59"/>
      <c r="D3" s="59"/>
      <c r="E3" s="59"/>
      <c r="F3" s="59"/>
      <c r="G3" s="59"/>
    </row>
    <row r="4" spans="1:7" x14ac:dyDescent="0.25">
      <c r="A4" s="1" t="s">
        <v>23</v>
      </c>
    </row>
    <row r="6" spans="1:7" x14ac:dyDescent="0.25">
      <c r="A6" s="6" t="s">
        <v>17</v>
      </c>
      <c r="B6" s="6" t="s">
        <v>18</v>
      </c>
      <c r="C6" s="6" t="s">
        <v>19</v>
      </c>
      <c r="D6" s="6"/>
    </row>
    <row r="7" spans="1:7" ht="60" x14ac:dyDescent="0.25">
      <c r="A7" s="12" t="s">
        <v>36</v>
      </c>
      <c r="B7" s="7">
        <v>-100000</v>
      </c>
      <c r="C7" s="3" t="s">
        <v>9</v>
      </c>
      <c r="D7" s="3" t="s">
        <v>8</v>
      </c>
    </row>
    <row r="8" spans="1:7" ht="60" x14ac:dyDescent="0.25">
      <c r="A8" s="12" t="s">
        <v>30</v>
      </c>
      <c r="B8" s="7">
        <v>1000000</v>
      </c>
      <c r="C8" s="3" t="s">
        <v>7</v>
      </c>
      <c r="D8" s="3" t="s">
        <v>6</v>
      </c>
      <c r="E8" s="26">
        <f>FV(B12,B13,B15,B7,B14)</f>
        <v>999999.99999999744</v>
      </c>
    </row>
    <row r="9" spans="1:7" x14ac:dyDescent="0.25">
      <c r="A9" s="12" t="s">
        <v>20</v>
      </c>
      <c r="B9" s="11">
        <v>5</v>
      </c>
      <c r="C9" s="3"/>
      <c r="D9" s="3"/>
      <c r="G9" s="17"/>
    </row>
    <row r="10" spans="1:7" x14ac:dyDescent="0.25">
      <c r="A10" s="12" t="s">
        <v>15</v>
      </c>
      <c r="B10" s="4">
        <v>0.1</v>
      </c>
      <c r="C10" s="3"/>
      <c r="D10" s="3"/>
    </row>
    <row r="11" spans="1:7" ht="45" x14ac:dyDescent="0.25">
      <c r="A11" s="12" t="s">
        <v>34</v>
      </c>
      <c r="B11" s="10">
        <v>4</v>
      </c>
      <c r="C11" s="3"/>
      <c r="D11" s="3"/>
    </row>
    <row r="12" spans="1:7" x14ac:dyDescent="0.25">
      <c r="A12" s="12" t="s">
        <v>21</v>
      </c>
      <c r="B12" s="9">
        <f>B10/B11</f>
        <v>2.5000000000000001E-2</v>
      </c>
      <c r="C12" s="3" t="s">
        <v>14</v>
      </c>
      <c r="D12" s="3" t="s">
        <v>13</v>
      </c>
    </row>
    <row r="13" spans="1:7" x14ac:dyDescent="0.25">
      <c r="A13" s="12" t="s">
        <v>12</v>
      </c>
      <c r="B13" s="8">
        <f>B9*B11</f>
        <v>20</v>
      </c>
      <c r="C13" s="3" t="s">
        <v>11</v>
      </c>
      <c r="D13" s="3" t="s">
        <v>10</v>
      </c>
    </row>
    <row r="14" spans="1:7" x14ac:dyDescent="0.25">
      <c r="A14" s="12" t="s">
        <v>16</v>
      </c>
      <c r="B14" s="5">
        <v>0</v>
      </c>
      <c r="C14" s="3" t="s">
        <v>5</v>
      </c>
      <c r="D14" s="3" t="s">
        <v>4</v>
      </c>
      <c r="E14" t="s">
        <v>38</v>
      </c>
    </row>
    <row r="15" spans="1:7" x14ac:dyDescent="0.25">
      <c r="A15" s="19" t="s">
        <v>26</v>
      </c>
      <c r="B15" s="20">
        <f>PMT(B12,B13,B7,B8,B14)</f>
        <v>-32732.415861027002</v>
      </c>
      <c r="C15" s="20">
        <f>-(B7*B12*(1+ B12)^ B13 /((1+ B12)^ B13 -1)+B12 /((1+ B12)^ B13 -1)* B8)*IF(B14,1/(B12 +1),1)</f>
        <v>-32732.415861027101</v>
      </c>
      <c r="D15" s="3"/>
    </row>
    <row r="16" spans="1:7" x14ac:dyDescent="0.25">
      <c r="A16" s="21"/>
      <c r="B16" s="21"/>
      <c r="C16" s="21"/>
      <c r="D16" s="21"/>
    </row>
    <row r="17" spans="1:9" ht="30" x14ac:dyDescent="0.25">
      <c r="A17" s="19" t="s">
        <v>31</v>
      </c>
      <c r="B17" s="20">
        <f>SUM(Таблица[Регулярный взнос])</f>
        <v>-654648.31722054002</v>
      </c>
      <c r="C17" s="20">
        <f>B13*B15</f>
        <v>-654648.31722054002</v>
      </c>
      <c r="D17" s="21"/>
    </row>
    <row r="18" spans="1:9" ht="30" x14ac:dyDescent="0.25">
      <c r="A18" s="19" t="s">
        <v>32</v>
      </c>
      <c r="B18" s="20">
        <f>SUM(Таблица[Начисленный % за период])</f>
        <v>245351.68277945975</v>
      </c>
      <c r="C18" s="20">
        <f ca="1">SUMPRODUCT(IPMT(B12,ROW(INDIRECT("1:"&amp;B13)),B13,B7,B8,B14))</f>
        <v>245351.68277945975</v>
      </c>
    </row>
    <row r="19" spans="1:9" ht="30" x14ac:dyDescent="0.25">
      <c r="A19" s="19" t="s">
        <v>46</v>
      </c>
      <c r="B19" s="20">
        <f>B17-B18</f>
        <v>-899999.99999999977</v>
      </c>
      <c r="C19" s="21"/>
      <c r="D19" s="21"/>
    </row>
    <row r="21" spans="1:9" ht="60" x14ac:dyDescent="0.25">
      <c r="A21" s="14" t="s">
        <v>22</v>
      </c>
      <c r="B21" s="14" t="s">
        <v>45</v>
      </c>
      <c r="C21" s="15" t="s">
        <v>26</v>
      </c>
      <c r="D21" s="15" t="s">
        <v>25</v>
      </c>
      <c r="E21" s="15" t="s">
        <v>29</v>
      </c>
      <c r="F21" s="15" t="s">
        <v>24</v>
      </c>
      <c r="G21" s="15" t="s">
        <v>28</v>
      </c>
      <c r="H21" s="15" t="s">
        <v>27</v>
      </c>
      <c r="I21" s="36" t="s">
        <v>52</v>
      </c>
    </row>
    <row r="22" spans="1:9" x14ac:dyDescent="0.25">
      <c r="A22" s="16">
        <v>1</v>
      </c>
      <c r="B22" s="17">
        <f>$B$7</f>
        <v>-100000</v>
      </c>
      <c r="C22" s="17">
        <f t="shared" ref="C22:C41" si="0">$B$15</f>
        <v>-32732.415861027002</v>
      </c>
      <c r="D22" s="17">
        <f t="shared" ref="D22:D41" si="1">IPMT($B$12,A22,$B$13,$B$7,$B$8,$B$14)</f>
        <v>2500.0000000000032</v>
      </c>
      <c r="E22" s="17">
        <f t="shared" ref="E22:E41" si="2">PPMT($B$12,A22,$B$13,$B$7,$B$8,$B$14)</f>
        <v>-35232.41586102701</v>
      </c>
      <c r="F22" s="17">
        <f>SUM($E$21:E22)+$B$7</f>
        <v>-135232.41586102702</v>
      </c>
      <c r="G22" s="18">
        <f>Таблица[[#This Row],[Регулярный взнос]]*Таблица[[#This Row],[Период]]</f>
        <v>-32732.415861027002</v>
      </c>
      <c r="H22" s="18">
        <f>SUM($D$21:D22)</f>
        <v>2500.0000000000032</v>
      </c>
      <c r="I22" s="17">
        <f t="shared" ref="I22:I41" si="3">-FV($B$12,A22,$B$15,$B$7,$B$14)/(1+$B$14*$B$12)</f>
        <v>-135232.41586102688</v>
      </c>
    </row>
    <row r="23" spans="1:9" x14ac:dyDescent="0.25">
      <c r="A23" s="16">
        <v>2</v>
      </c>
      <c r="B23" s="17">
        <f t="shared" ref="B23:B41" si="4">F22</f>
        <v>-135232.41586102702</v>
      </c>
      <c r="C23" s="17">
        <f t="shared" si="0"/>
        <v>-32732.415861027002</v>
      </c>
      <c r="D23" s="17">
        <f t="shared" si="1"/>
        <v>3380.8103965256742</v>
      </c>
      <c r="E23" s="17">
        <f t="shared" si="2"/>
        <v>-36113.226257552677</v>
      </c>
      <c r="F23" s="17">
        <f>SUM($E$21:E23)+$B$7</f>
        <v>-171345.64211857968</v>
      </c>
      <c r="G23" s="18">
        <f>Таблица[[#This Row],[Регулярный взнос]]*Таблица[[#This Row],[Период]]</f>
        <v>-65464.831722054005</v>
      </c>
      <c r="H23" s="18">
        <f>SUM($D$21:D23)</f>
        <v>5880.8103965256778</v>
      </c>
      <c r="I23" s="17">
        <f t="shared" si="3"/>
        <v>-171345.64211857956</v>
      </c>
    </row>
    <row r="24" spans="1:9" x14ac:dyDescent="0.25">
      <c r="A24" s="16">
        <v>3</v>
      </c>
      <c r="B24" s="17">
        <f t="shared" si="4"/>
        <v>-171345.64211857968</v>
      </c>
      <c r="C24" s="17">
        <f t="shared" si="0"/>
        <v>-32732.415861027002</v>
      </c>
      <c r="D24" s="17">
        <f t="shared" si="1"/>
        <v>4283.6410529644954</v>
      </c>
      <c r="E24" s="17">
        <f t="shared" si="2"/>
        <v>-37016.056913991502</v>
      </c>
      <c r="F24" s="17">
        <f>SUM($E$21:E24)+$B$7</f>
        <v>-208361.69903257117</v>
      </c>
      <c r="G24" s="18">
        <f>Таблица[[#This Row],[Регулярный взнос]]*Таблица[[#This Row],[Период]]</f>
        <v>-98197.247583081014</v>
      </c>
      <c r="H24" s="18">
        <f>SUM($D$21:D24)</f>
        <v>10164.451449490174</v>
      </c>
      <c r="I24" s="17">
        <f t="shared" si="3"/>
        <v>-208361.69903257099</v>
      </c>
    </row>
    <row r="25" spans="1:9" x14ac:dyDescent="0.25">
      <c r="A25" s="16">
        <v>4</v>
      </c>
      <c r="B25" s="17">
        <f t="shared" si="4"/>
        <v>-208361.69903257117</v>
      </c>
      <c r="C25" s="17">
        <f t="shared" si="0"/>
        <v>-32732.415861027002</v>
      </c>
      <c r="D25" s="17">
        <f t="shared" si="1"/>
        <v>5209.0424758142826</v>
      </c>
      <c r="E25" s="17">
        <f t="shared" si="2"/>
        <v>-37941.458336841286</v>
      </c>
      <c r="F25" s="17">
        <f>SUM($E$21:E25)+$B$7</f>
        <v>-246303.15736941248</v>
      </c>
      <c r="G25" s="18">
        <f>Таблица[[#This Row],[Регулярный взнос]]*Таблица[[#This Row],[Период]]</f>
        <v>-130929.66344410801</v>
      </c>
      <c r="H25" s="18">
        <f>SUM($D$21:D25)</f>
        <v>15373.493925304458</v>
      </c>
      <c r="I25" s="17">
        <f t="shared" si="3"/>
        <v>-246303.15736941213</v>
      </c>
    </row>
    <row r="26" spans="1:9" x14ac:dyDescent="0.25">
      <c r="A26" s="16">
        <v>5</v>
      </c>
      <c r="B26" s="17">
        <f t="shared" si="4"/>
        <v>-246303.15736941248</v>
      </c>
      <c r="C26" s="17">
        <f t="shared" si="0"/>
        <v>-32732.415861027002</v>
      </c>
      <c r="D26" s="17">
        <f t="shared" si="1"/>
        <v>6157.5789342353155</v>
      </c>
      <c r="E26" s="17">
        <f t="shared" si="2"/>
        <v>-38889.994795262312</v>
      </c>
      <c r="F26" s="17">
        <f>SUM($E$21:E26)+$B$7</f>
        <v>-285193.15216467483</v>
      </c>
      <c r="G26" s="18">
        <f>Таблица[[#This Row],[Регулярный взнос]]*Таблица[[#This Row],[Период]]</f>
        <v>-163662.079305135</v>
      </c>
      <c r="H26" s="18">
        <f>SUM($D$21:D26)</f>
        <v>21531.072859539774</v>
      </c>
      <c r="I26" s="17">
        <f t="shared" si="3"/>
        <v>-285193.15216467425</v>
      </c>
    </row>
    <row r="27" spans="1:9" x14ac:dyDescent="0.25">
      <c r="A27" s="16">
        <v>6</v>
      </c>
      <c r="B27" s="17">
        <f t="shared" si="4"/>
        <v>-285193.15216467483</v>
      </c>
      <c r="C27" s="17">
        <f t="shared" si="0"/>
        <v>-32732.415861027002</v>
      </c>
      <c r="D27" s="17">
        <f t="shared" si="1"/>
        <v>7129.8288041168707</v>
      </c>
      <c r="E27" s="17">
        <f t="shared" si="2"/>
        <v>-39862.244665143873</v>
      </c>
      <c r="F27" s="17">
        <f>SUM($E$21:E27)+$B$7</f>
        <v>-325055.39682981867</v>
      </c>
      <c r="G27" s="18">
        <f>Таблица[[#This Row],[Регулярный взнос]]*Таблица[[#This Row],[Период]]</f>
        <v>-196394.49516616203</v>
      </c>
      <c r="H27" s="18">
        <f>SUM($D$21:D27)</f>
        <v>28660.901663656645</v>
      </c>
      <c r="I27" s="17">
        <f t="shared" si="3"/>
        <v>-325055.39682981803</v>
      </c>
    </row>
    <row r="28" spans="1:9" x14ac:dyDescent="0.25">
      <c r="A28" s="16">
        <v>7</v>
      </c>
      <c r="B28" s="17">
        <f t="shared" si="4"/>
        <v>-325055.39682981867</v>
      </c>
      <c r="C28" s="17">
        <f t="shared" si="0"/>
        <v>-32732.415861027002</v>
      </c>
      <c r="D28" s="17">
        <f t="shared" si="1"/>
        <v>8126.3849207454687</v>
      </c>
      <c r="E28" s="17">
        <f t="shared" si="2"/>
        <v>-40858.800781772472</v>
      </c>
      <c r="F28" s="17">
        <f>SUM($E$21:E28)+$B$7</f>
        <v>-365914.19761159114</v>
      </c>
      <c r="G28" s="18">
        <f>Таблица[[#This Row],[Регулярный взнос]]*Таблица[[#This Row],[Период]]</f>
        <v>-229126.91102718902</v>
      </c>
      <c r="H28" s="18">
        <f>SUM($D$21:D28)</f>
        <v>36787.286584402114</v>
      </c>
      <c r="I28" s="17">
        <f t="shared" si="3"/>
        <v>-365914.19761159056</v>
      </c>
    </row>
    <row r="29" spans="1:9" x14ac:dyDescent="0.25">
      <c r="A29" s="16">
        <v>8</v>
      </c>
      <c r="B29" s="17">
        <f t="shared" si="4"/>
        <v>-365914.19761159114</v>
      </c>
      <c r="C29" s="17">
        <f t="shared" si="0"/>
        <v>-32732.415861027002</v>
      </c>
      <c r="D29" s="17">
        <f t="shared" si="1"/>
        <v>9147.8549402897825</v>
      </c>
      <c r="E29" s="17">
        <f t="shared" si="2"/>
        <v>-41880.270801316787</v>
      </c>
      <c r="F29" s="17">
        <f>SUM($E$21:E29)+$B$7</f>
        <v>-407794.46841290791</v>
      </c>
      <c r="G29" s="18">
        <f>Таблица[[#This Row],[Регулярный взнос]]*Таблица[[#This Row],[Период]]</f>
        <v>-261859.32688821602</v>
      </c>
      <c r="H29" s="18">
        <f>SUM($D$21:D29)</f>
        <v>45935.141524691899</v>
      </c>
      <c r="I29" s="17">
        <f t="shared" si="3"/>
        <v>-407794.46841290721</v>
      </c>
    </row>
    <row r="30" spans="1:9" x14ac:dyDescent="0.25">
      <c r="A30" s="16">
        <v>9</v>
      </c>
      <c r="B30" s="17">
        <f t="shared" si="4"/>
        <v>-407794.46841290791</v>
      </c>
      <c r="C30" s="17">
        <f t="shared" si="0"/>
        <v>-32732.415861027002</v>
      </c>
      <c r="D30" s="17">
        <f t="shared" si="1"/>
        <v>10194.861710322701</v>
      </c>
      <c r="E30" s="17">
        <f t="shared" si="2"/>
        <v>-42927.277571349703</v>
      </c>
      <c r="F30" s="17">
        <f>SUM($E$21:E30)+$B$7</f>
        <v>-450721.74598425761</v>
      </c>
      <c r="G30" s="18">
        <f>Таблица[[#This Row],[Регулярный взнос]]*Таблица[[#This Row],[Период]]</f>
        <v>-294591.74274924304</v>
      </c>
      <c r="H30" s="18">
        <f>SUM($D$21:D30)</f>
        <v>56130.003235014599</v>
      </c>
      <c r="I30" s="17">
        <f t="shared" si="3"/>
        <v>-450721.7459842565</v>
      </c>
    </row>
    <row r="31" spans="1:9" x14ac:dyDescent="0.25">
      <c r="A31" s="16">
        <v>10</v>
      </c>
      <c r="B31" s="17">
        <f t="shared" si="4"/>
        <v>-450721.74598425761</v>
      </c>
      <c r="C31" s="17">
        <f t="shared" si="0"/>
        <v>-32732.415861027002</v>
      </c>
      <c r="D31" s="17">
        <f t="shared" si="1"/>
        <v>11268.043649606445</v>
      </c>
      <c r="E31" s="17">
        <f t="shared" si="2"/>
        <v>-44000.459510633445</v>
      </c>
      <c r="F31" s="17">
        <f>SUM($E$21:E31)+$B$7</f>
        <v>-494722.20549489104</v>
      </c>
      <c r="G31" s="18">
        <f>Таблица[[#This Row],[Регулярный взнос]]*Таблица[[#This Row],[Период]]</f>
        <v>-327324.15861027001</v>
      </c>
      <c r="H31" s="18">
        <f>SUM($D$21:D31)</f>
        <v>67398.046884621042</v>
      </c>
      <c r="I31" s="17">
        <f t="shared" si="3"/>
        <v>-494722.20549488999</v>
      </c>
    </row>
    <row r="32" spans="1:9" x14ac:dyDescent="0.25">
      <c r="A32" s="16">
        <v>11</v>
      </c>
      <c r="B32" s="17">
        <f t="shared" si="4"/>
        <v>-494722.20549489104</v>
      </c>
      <c r="C32" s="17">
        <f t="shared" si="0"/>
        <v>-32732.415861027002</v>
      </c>
      <c r="D32" s="17">
        <f t="shared" si="1"/>
        <v>12368.055137372281</v>
      </c>
      <c r="E32" s="17">
        <f t="shared" si="2"/>
        <v>-45100.470998399287</v>
      </c>
      <c r="F32" s="17">
        <f>SUM($E$21:E32)+$B$7</f>
        <v>-539822.67649329035</v>
      </c>
      <c r="G32" s="18">
        <f>Таблица[[#This Row],[Регулярный взнос]]*Таблица[[#This Row],[Период]]</f>
        <v>-360056.57447129703</v>
      </c>
      <c r="H32" s="18">
        <f>SUM($D$21:D32)</f>
        <v>79766.102021993327</v>
      </c>
      <c r="I32" s="17">
        <f t="shared" si="3"/>
        <v>-539822.67649328918</v>
      </c>
    </row>
    <row r="33" spans="1:16" x14ac:dyDescent="0.25">
      <c r="A33" s="16">
        <v>12</v>
      </c>
      <c r="B33" s="17">
        <f t="shared" si="4"/>
        <v>-539822.67649329035</v>
      </c>
      <c r="C33" s="17">
        <f t="shared" si="0"/>
        <v>-32732.415861027002</v>
      </c>
      <c r="D33" s="17">
        <f t="shared" si="1"/>
        <v>13495.566912332266</v>
      </c>
      <c r="E33" s="17">
        <f t="shared" si="2"/>
        <v>-46227.982773359261</v>
      </c>
      <c r="F33" s="17">
        <f>SUM($E$21:E33)+$B$7</f>
        <v>-586050.65926664963</v>
      </c>
      <c r="G33" s="18">
        <f>Таблица[[#This Row],[Регулярный взнос]]*Таблица[[#This Row],[Период]]</f>
        <v>-392788.99033232406</v>
      </c>
      <c r="H33" s="18">
        <f>SUM($D$21:D33)</f>
        <v>93261.6689343256</v>
      </c>
      <c r="I33" s="17">
        <f t="shared" si="3"/>
        <v>-586050.65926664835</v>
      </c>
    </row>
    <row r="34" spans="1:16" x14ac:dyDescent="0.25">
      <c r="A34" s="16">
        <v>13</v>
      </c>
      <c r="B34" s="17">
        <f t="shared" si="4"/>
        <v>-586050.65926664963</v>
      </c>
      <c r="C34" s="17">
        <f t="shared" si="0"/>
        <v>-32732.415861027002</v>
      </c>
      <c r="D34" s="17">
        <f t="shared" si="1"/>
        <v>14651.266481666244</v>
      </c>
      <c r="E34" s="17">
        <f t="shared" si="2"/>
        <v>-47383.682342693246</v>
      </c>
      <c r="F34" s="17">
        <f>SUM($E$21:E34)+$B$7</f>
        <v>-633434.34160934284</v>
      </c>
      <c r="G34" s="18">
        <f>Таблица[[#This Row],[Регулярный взнос]]*Таблица[[#This Row],[Период]]</f>
        <v>-425521.40619335102</v>
      </c>
      <c r="H34" s="18">
        <f>SUM($D$21:D34)</f>
        <v>107912.93541599184</v>
      </c>
      <c r="I34" s="17">
        <f t="shared" si="3"/>
        <v>-633434.34160934133</v>
      </c>
    </row>
    <row r="35" spans="1:16" x14ac:dyDescent="0.25">
      <c r="A35" s="16">
        <v>14</v>
      </c>
      <c r="B35" s="17">
        <f t="shared" si="4"/>
        <v>-633434.34160934284</v>
      </c>
      <c r="C35" s="17">
        <f t="shared" si="0"/>
        <v>-32732.415861027002</v>
      </c>
      <c r="D35" s="17">
        <f t="shared" si="1"/>
        <v>15835.858540233574</v>
      </c>
      <c r="E35" s="17">
        <f t="shared" si="2"/>
        <v>-48568.274401260576</v>
      </c>
      <c r="F35" s="17">
        <f>SUM($E$21:E35)+$B$7</f>
        <v>-682002.61601060338</v>
      </c>
      <c r="G35" s="18">
        <f>Таблица[[#This Row],[Регулярный взнос]]*Таблица[[#This Row],[Период]]</f>
        <v>-458253.82205437805</v>
      </c>
      <c r="H35" s="18">
        <f>SUM($D$21:D35)</f>
        <v>123748.79395622542</v>
      </c>
      <c r="I35" s="17">
        <f t="shared" si="3"/>
        <v>-682002.61601060163</v>
      </c>
    </row>
    <row r="36" spans="1:16" x14ac:dyDescent="0.25">
      <c r="A36" s="16">
        <v>15</v>
      </c>
      <c r="B36" s="17">
        <f t="shared" si="4"/>
        <v>-682002.61601060338</v>
      </c>
      <c r="C36" s="17">
        <f t="shared" si="0"/>
        <v>-32732.415861027002</v>
      </c>
      <c r="D36" s="17">
        <f t="shared" si="1"/>
        <v>17050.065400265092</v>
      </c>
      <c r="E36" s="17">
        <f t="shared" si="2"/>
        <v>-49782.481261292094</v>
      </c>
      <c r="F36" s="17">
        <f>SUM($E$21:E36)+$B$7</f>
        <v>-731785.0972718955</v>
      </c>
      <c r="G36" s="18">
        <f>Таблица[[#This Row],[Регулярный взнос]]*Таблица[[#This Row],[Период]]</f>
        <v>-490986.23791540501</v>
      </c>
      <c r="H36" s="18">
        <f>SUM($D$21:D36)</f>
        <v>140798.85935649052</v>
      </c>
      <c r="I36" s="17">
        <f t="shared" si="3"/>
        <v>-731785.0972718941</v>
      </c>
    </row>
    <row r="37" spans="1:16" x14ac:dyDescent="0.25">
      <c r="A37" s="16">
        <v>16</v>
      </c>
      <c r="B37" s="17">
        <f t="shared" si="4"/>
        <v>-731785.0972718955</v>
      </c>
      <c r="C37" s="17">
        <f t="shared" si="0"/>
        <v>-32732.415861027002</v>
      </c>
      <c r="D37" s="17">
        <f t="shared" si="1"/>
        <v>18294.627431797395</v>
      </c>
      <c r="E37" s="17">
        <f t="shared" si="2"/>
        <v>-51027.043292824397</v>
      </c>
      <c r="F37" s="17">
        <f>SUM($E$21:E37)+$B$7</f>
        <v>-782812.14056471991</v>
      </c>
      <c r="G37" s="18">
        <f>Таблица[[#This Row],[Регулярный взнос]]*Таблица[[#This Row],[Период]]</f>
        <v>-523718.65377643204</v>
      </c>
      <c r="H37" s="18">
        <f>SUM($D$21:D37)</f>
        <v>159093.4867882879</v>
      </c>
      <c r="I37" s="17">
        <f t="shared" si="3"/>
        <v>-782812.14056471817</v>
      </c>
    </row>
    <row r="38" spans="1:16" x14ac:dyDescent="0.25">
      <c r="A38" s="16">
        <v>17</v>
      </c>
      <c r="B38" s="17">
        <f t="shared" si="4"/>
        <v>-782812.14056471991</v>
      </c>
      <c r="C38" s="17">
        <f t="shared" si="0"/>
        <v>-32732.415861027002</v>
      </c>
      <c r="D38" s="17">
        <f t="shared" si="1"/>
        <v>19570.303514118004</v>
      </c>
      <c r="E38" s="17">
        <f t="shared" si="2"/>
        <v>-52302.71937514501</v>
      </c>
      <c r="F38" s="17">
        <f>SUM($E$21:E38)+$B$7</f>
        <v>-835114.85993986495</v>
      </c>
      <c r="G38" s="18">
        <f>Таблица[[#This Row],[Регулярный взнос]]*Таблица[[#This Row],[Период]]</f>
        <v>-556451.069637459</v>
      </c>
      <c r="H38" s="18">
        <f>SUM($D$21:D38)</f>
        <v>178663.79030240592</v>
      </c>
      <c r="I38" s="17">
        <f t="shared" si="3"/>
        <v>-835114.85993986297</v>
      </c>
    </row>
    <row r="39" spans="1:16" x14ac:dyDescent="0.25">
      <c r="A39" s="16">
        <v>18</v>
      </c>
      <c r="B39" s="17">
        <f t="shared" si="4"/>
        <v>-835114.85993986495</v>
      </c>
      <c r="C39" s="17">
        <f t="shared" si="0"/>
        <v>-32732.415861027002</v>
      </c>
      <c r="D39" s="17">
        <f t="shared" si="1"/>
        <v>20877.871498496628</v>
      </c>
      <c r="E39" s="17">
        <f t="shared" si="2"/>
        <v>-53610.287359523638</v>
      </c>
      <c r="F39" s="17">
        <f>SUM($E$21:E39)+$B$7</f>
        <v>-888725.14729938854</v>
      </c>
      <c r="G39" s="18">
        <f>Таблица[[#This Row],[Регулярный взнос]]*Таблица[[#This Row],[Период]]</f>
        <v>-589183.48549848609</v>
      </c>
      <c r="H39" s="18">
        <f>SUM($D$21:D39)</f>
        <v>199541.66180090254</v>
      </c>
      <c r="I39" s="17">
        <f t="shared" si="3"/>
        <v>-888725.14729938656</v>
      </c>
    </row>
    <row r="40" spans="1:16" x14ac:dyDescent="0.25">
      <c r="A40" s="16">
        <v>19</v>
      </c>
      <c r="B40" s="17">
        <f t="shared" si="4"/>
        <v>-888725.14729938854</v>
      </c>
      <c r="C40" s="17">
        <f t="shared" si="0"/>
        <v>-32732.415861027002</v>
      </c>
      <c r="D40" s="17">
        <f t="shared" si="1"/>
        <v>22218.128682484719</v>
      </c>
      <c r="E40" s="17">
        <f t="shared" si="2"/>
        <v>-54950.544543511729</v>
      </c>
      <c r="F40" s="17">
        <f>SUM($E$21:E40)+$B$7</f>
        <v>-943675.69184290024</v>
      </c>
      <c r="G40" s="18">
        <f>Таблица[[#This Row],[Регулярный взнос]]*Таблица[[#This Row],[Период]]</f>
        <v>-621915.90135951305</v>
      </c>
      <c r="H40" s="18">
        <f>SUM($D$21:D40)</f>
        <v>221759.79048338725</v>
      </c>
      <c r="I40" s="17">
        <f t="shared" si="3"/>
        <v>-943675.69184289826</v>
      </c>
    </row>
    <row r="41" spans="1:16" x14ac:dyDescent="0.25">
      <c r="A41" s="16">
        <v>20</v>
      </c>
      <c r="B41" s="17">
        <f t="shared" si="4"/>
        <v>-943675.69184290024</v>
      </c>
      <c r="C41" s="17">
        <f t="shared" si="0"/>
        <v>-32732.415861027002</v>
      </c>
      <c r="D41" s="17">
        <f t="shared" si="1"/>
        <v>23591.892296072514</v>
      </c>
      <c r="E41" s="17">
        <f t="shared" si="2"/>
        <v>-56324.30815709952</v>
      </c>
      <c r="F41" s="24">
        <f>SUM($E$21:E41)+$B$7</f>
        <v>-999999.99999999977</v>
      </c>
      <c r="G41" s="18">
        <f>Таблица[[#This Row],[Регулярный взнос]]*Таблица[[#This Row],[Период]]</f>
        <v>-654648.31722054002</v>
      </c>
      <c r="H41" s="18">
        <f>SUM($D$21:D41)</f>
        <v>245351.68277945975</v>
      </c>
      <c r="I41" s="17">
        <f t="shared" si="3"/>
        <v>-999999.99999999744</v>
      </c>
    </row>
    <row r="42" spans="1:16" x14ac:dyDescent="0.25">
      <c r="A42" s="16"/>
      <c r="B42" s="16"/>
      <c r="C42" s="23">
        <f>SUBTOTAL(109,Таблица[Регулярный взнос])</f>
        <v>-654648.31722054002</v>
      </c>
      <c r="D42" s="23">
        <f>SUBTOTAL(109,Таблица[Начисленный % за период])</f>
        <v>245351.68277945975</v>
      </c>
      <c r="E42" s="23">
        <f>SUBTOTAL(109,Таблица[Пополнение вклада за период (Взнос + %)])</f>
        <v>-899999.99999999977</v>
      </c>
      <c r="F42" s="17"/>
      <c r="G42" s="22"/>
      <c r="H42" s="22"/>
    </row>
    <row r="43" spans="1:16" x14ac:dyDescent="0.25">
      <c r="B43" s="13"/>
      <c r="C43" s="13"/>
      <c r="D43" s="13"/>
      <c r="E43" s="13"/>
      <c r="F43" s="13"/>
      <c r="G43" s="13"/>
    </row>
    <row r="44" spans="1:16" x14ac:dyDescent="0.25">
      <c r="A44" s="1" t="s">
        <v>35</v>
      </c>
      <c r="B44" s="13"/>
      <c r="C44" s="13"/>
      <c r="D44" s="13"/>
      <c r="E44" s="13"/>
      <c r="F44" s="13"/>
      <c r="G44" s="13"/>
      <c r="K44" s="1" t="s">
        <v>44</v>
      </c>
    </row>
    <row r="45" spans="1:16" hidden="1" x14ac:dyDescent="0.25">
      <c r="B45" s="13"/>
      <c r="C45" s="13"/>
      <c r="D45" s="13"/>
      <c r="E45" s="13"/>
      <c r="F45" s="13"/>
      <c r="G45" s="13"/>
      <c r="J45" s="35">
        <f t="shared" ref="J45" si="5">FV($B$12,A27,$B$15,$B$7,$B$14)</f>
        <v>325055.39682981803</v>
      </c>
    </row>
    <row r="46" spans="1:16" ht="60" x14ac:dyDescent="0.25">
      <c r="A46" s="14" t="s">
        <v>22</v>
      </c>
      <c r="B46" s="15" t="s">
        <v>26</v>
      </c>
      <c r="C46" s="15" t="s">
        <v>25</v>
      </c>
      <c r="D46" s="15" t="s">
        <v>29</v>
      </c>
      <c r="E46" s="15" t="s">
        <v>24</v>
      </c>
      <c r="F46" s="15" t="s">
        <v>28</v>
      </c>
      <c r="G46" s="15" t="s">
        <v>27</v>
      </c>
      <c r="H46" s="15" t="s">
        <v>33</v>
      </c>
      <c r="K46" s="30" t="s">
        <v>37</v>
      </c>
      <c r="L46" s="31" t="s">
        <v>39</v>
      </c>
      <c r="M46" s="31" t="str">
        <f>Таблица2[[#Headers],[Регулярный взнос]]</f>
        <v>Регулярный взнос</v>
      </c>
      <c r="N46" s="31" t="s">
        <v>51</v>
      </c>
      <c r="O46" s="31" t="s">
        <v>40</v>
      </c>
      <c r="P46" t="s">
        <v>50</v>
      </c>
    </row>
    <row r="47" spans="1:16" x14ac:dyDescent="0.25">
      <c r="A47" s="16">
        <v>1</v>
      </c>
      <c r="B47" s="17">
        <f t="shared" ref="B47:B66" si="6">-$B$15</f>
        <v>32732.415861027002</v>
      </c>
      <c r="C47" s="17">
        <f>IPMT($B$12,A47,$B$13,$B$7,$B$8,$B$14)</f>
        <v>2500.0000000000032</v>
      </c>
      <c r="D47" s="17">
        <f t="shared" ref="D47:D66" si="7">PPMT($B$12,A47,$B$13,$B$7,$B$8,$B$14)</f>
        <v>-35232.41586102701</v>
      </c>
      <c r="E47" s="17">
        <f>SUM($D$46:D47)+$B$7</f>
        <v>-135232.41586102702</v>
      </c>
      <c r="F47" s="18">
        <f>Таблица2[[#This Row],[Регулярный взнос]]*Таблица2[[#This Row],[Период]]</f>
        <v>32732.415861027002</v>
      </c>
      <c r="G47" s="18">
        <f>SUM($C$46:C47)</f>
        <v>2500.0000000000032</v>
      </c>
      <c r="H47" s="25">
        <f t="shared" ref="H47:H66" si="8">-$B$7</f>
        <v>100000</v>
      </c>
      <c r="K47" s="28">
        <v>1</v>
      </c>
      <c r="L47" s="29">
        <f>-B7</f>
        <v>100000</v>
      </c>
      <c r="M47" s="27">
        <f>-$C$15</f>
        <v>32732.415861027101</v>
      </c>
      <c r="N47" s="29">
        <f>IF(B14,0,L47)*$B$12</f>
        <v>2500</v>
      </c>
      <c r="O47" s="27">
        <f>L47+M47+N47</f>
        <v>135232.41586102711</v>
      </c>
    </row>
    <row r="48" spans="1:16" x14ac:dyDescent="0.25">
      <c r="A48" s="16">
        <v>2</v>
      </c>
      <c r="B48" s="17">
        <f t="shared" si="6"/>
        <v>32732.415861027002</v>
      </c>
      <c r="C48" s="17">
        <f t="shared" ref="C48:C66" si="9">IPMT($B$12,A48,$B$13,$B$7,$B$8,$B$14)</f>
        <v>3380.8103965256742</v>
      </c>
      <c r="D48" s="17">
        <f t="shared" si="7"/>
        <v>-36113.226257552677</v>
      </c>
      <c r="E48" s="17">
        <f>SUM($D$46:D48)+$B$7</f>
        <v>-171345.64211857968</v>
      </c>
      <c r="F48" s="18">
        <f>Таблица2[[#This Row],[Регулярный взнос]]*Таблица2[[#This Row],[Период]]</f>
        <v>65464.831722054005</v>
      </c>
      <c r="G48" s="18">
        <f>SUM($C$46:C48)</f>
        <v>5880.8103965256778</v>
      </c>
      <c r="H48" s="25">
        <f t="shared" si="8"/>
        <v>100000</v>
      </c>
      <c r="K48" s="28">
        <v>2</v>
      </c>
      <c r="L48" s="27">
        <f>O47</f>
        <v>135232.41586102711</v>
      </c>
      <c r="M48" s="27">
        <f t="shared" ref="M48:M66" si="10">-$C$15</f>
        <v>32732.415861027101</v>
      </c>
      <c r="N48" s="27">
        <f>L48*$B$12</f>
        <v>3380.8103965256778</v>
      </c>
      <c r="O48" s="27">
        <f t="shared" ref="O48:O66" si="11">L48+M48+N48</f>
        <v>171345.64211857991</v>
      </c>
    </row>
    <row r="49" spans="1:15" x14ac:dyDescent="0.25">
      <c r="A49" s="16">
        <v>3</v>
      </c>
      <c r="B49" s="17">
        <f t="shared" si="6"/>
        <v>32732.415861027002</v>
      </c>
      <c r="C49" s="17">
        <f t="shared" si="9"/>
        <v>4283.6410529644954</v>
      </c>
      <c r="D49" s="17">
        <f t="shared" si="7"/>
        <v>-37016.056913991502</v>
      </c>
      <c r="E49" s="17">
        <f>SUM($D$46:D49)+$B$7</f>
        <v>-208361.69903257117</v>
      </c>
      <c r="F49" s="18">
        <f>Таблица2[[#This Row],[Регулярный взнос]]*Таблица2[[#This Row],[Период]]</f>
        <v>98197.247583081014</v>
      </c>
      <c r="G49" s="18">
        <f>SUM($C$46:C49)</f>
        <v>10164.451449490174</v>
      </c>
      <c r="H49" s="25">
        <f t="shared" si="8"/>
        <v>100000</v>
      </c>
      <c r="K49" s="28">
        <v>3</v>
      </c>
      <c r="L49" s="27">
        <f t="shared" ref="L49:L66" si="12">O48</f>
        <v>171345.64211857991</v>
      </c>
      <c r="M49" s="27">
        <f t="shared" si="10"/>
        <v>32732.415861027101</v>
      </c>
      <c r="N49" s="27">
        <f t="shared" ref="N49:N66" si="13">L49*$B$12</f>
        <v>4283.6410529644982</v>
      </c>
      <c r="O49" s="27">
        <f t="shared" si="11"/>
        <v>208361.69903257152</v>
      </c>
    </row>
    <row r="50" spans="1:15" x14ac:dyDescent="0.25">
      <c r="A50" s="16">
        <v>4</v>
      </c>
      <c r="B50" s="17">
        <f t="shared" si="6"/>
        <v>32732.415861027002</v>
      </c>
      <c r="C50" s="17">
        <f t="shared" si="9"/>
        <v>5209.0424758142826</v>
      </c>
      <c r="D50" s="17">
        <f t="shared" si="7"/>
        <v>-37941.458336841286</v>
      </c>
      <c r="E50" s="17">
        <f>SUM($D$46:D50)+$B$7</f>
        <v>-246303.15736941248</v>
      </c>
      <c r="F50" s="18">
        <f>Таблица2[[#This Row],[Регулярный взнос]]*Таблица2[[#This Row],[Период]]</f>
        <v>130929.66344410801</v>
      </c>
      <c r="G50" s="18">
        <f>SUM($C$46:C50)</f>
        <v>15373.493925304458</v>
      </c>
      <c r="H50" s="25">
        <f t="shared" si="8"/>
        <v>100000</v>
      </c>
      <c r="K50" s="28">
        <v>4</v>
      </c>
      <c r="L50" s="27">
        <f t="shared" si="12"/>
        <v>208361.69903257152</v>
      </c>
      <c r="M50" s="27">
        <f t="shared" si="10"/>
        <v>32732.415861027101</v>
      </c>
      <c r="N50" s="27">
        <f t="shared" si="13"/>
        <v>5209.0424758142881</v>
      </c>
      <c r="O50" s="27">
        <f t="shared" si="11"/>
        <v>246303.15736941292</v>
      </c>
    </row>
    <row r="51" spans="1:15" x14ac:dyDescent="0.25">
      <c r="A51" s="16">
        <v>5</v>
      </c>
      <c r="B51" s="17">
        <f t="shared" si="6"/>
        <v>32732.415861027002</v>
      </c>
      <c r="C51" s="17">
        <f t="shared" si="9"/>
        <v>6157.5789342353155</v>
      </c>
      <c r="D51" s="17">
        <f t="shared" si="7"/>
        <v>-38889.994795262312</v>
      </c>
      <c r="E51" s="17">
        <f>SUM($D$46:D51)+$B$7</f>
        <v>-285193.15216467483</v>
      </c>
      <c r="F51" s="18">
        <f>Таблица2[[#This Row],[Регулярный взнос]]*Таблица2[[#This Row],[Период]]</f>
        <v>163662.079305135</v>
      </c>
      <c r="G51" s="18">
        <f>SUM($C$46:C51)</f>
        <v>21531.072859539774</v>
      </c>
      <c r="H51" s="25">
        <f t="shared" si="8"/>
        <v>100000</v>
      </c>
      <c r="K51" s="28">
        <v>5</v>
      </c>
      <c r="L51" s="27">
        <f t="shared" si="12"/>
        <v>246303.15736941292</v>
      </c>
      <c r="M51" s="27">
        <f t="shared" si="10"/>
        <v>32732.415861027101</v>
      </c>
      <c r="N51" s="27">
        <f t="shared" si="13"/>
        <v>6157.5789342353237</v>
      </c>
      <c r="O51" s="27">
        <f t="shared" si="11"/>
        <v>285193.15216467535</v>
      </c>
    </row>
    <row r="52" spans="1:15" x14ac:dyDescent="0.25">
      <c r="A52" s="16">
        <v>6</v>
      </c>
      <c r="B52" s="17">
        <f t="shared" si="6"/>
        <v>32732.415861027002</v>
      </c>
      <c r="C52" s="17">
        <f t="shared" si="9"/>
        <v>7129.8288041168707</v>
      </c>
      <c r="D52" s="17">
        <f t="shared" si="7"/>
        <v>-39862.244665143873</v>
      </c>
      <c r="E52" s="17">
        <f>SUM($D$46:D52)+$B$7</f>
        <v>-325055.39682981867</v>
      </c>
      <c r="F52" s="18">
        <f>Таблица2[[#This Row],[Регулярный взнос]]*Таблица2[[#This Row],[Период]]</f>
        <v>196394.49516616203</v>
      </c>
      <c r="G52" s="18">
        <f>SUM($C$46:C52)</f>
        <v>28660.901663656645</v>
      </c>
      <c r="H52" s="25">
        <f t="shared" si="8"/>
        <v>100000</v>
      </c>
      <c r="K52" s="28">
        <v>6</v>
      </c>
      <c r="L52" s="27">
        <f t="shared" si="12"/>
        <v>285193.15216467535</v>
      </c>
      <c r="M52" s="27">
        <f t="shared" si="10"/>
        <v>32732.415861027101</v>
      </c>
      <c r="N52" s="27">
        <f t="shared" si="13"/>
        <v>7129.8288041168844</v>
      </c>
      <c r="O52" s="27">
        <f t="shared" si="11"/>
        <v>325055.39682981931</v>
      </c>
    </row>
    <row r="53" spans="1:15" x14ac:dyDescent="0.25">
      <c r="A53" s="16">
        <v>7</v>
      </c>
      <c r="B53" s="17">
        <f t="shared" si="6"/>
        <v>32732.415861027002</v>
      </c>
      <c r="C53" s="17">
        <f t="shared" si="9"/>
        <v>8126.3849207454687</v>
      </c>
      <c r="D53" s="17">
        <f t="shared" si="7"/>
        <v>-40858.800781772472</v>
      </c>
      <c r="E53" s="17">
        <f>SUM($D$46:D53)+$B$7</f>
        <v>-365914.19761159114</v>
      </c>
      <c r="F53" s="18">
        <f>Таблица2[[#This Row],[Регулярный взнос]]*Таблица2[[#This Row],[Период]]</f>
        <v>229126.91102718902</v>
      </c>
      <c r="G53" s="18">
        <f>SUM($C$46:C53)</f>
        <v>36787.286584402114</v>
      </c>
      <c r="H53" s="25">
        <f t="shared" si="8"/>
        <v>100000</v>
      </c>
      <c r="K53" s="28">
        <v>7</v>
      </c>
      <c r="L53" s="27">
        <f t="shared" si="12"/>
        <v>325055.39682981931</v>
      </c>
      <c r="M53" s="27">
        <f t="shared" si="10"/>
        <v>32732.415861027101</v>
      </c>
      <c r="N53" s="27">
        <f t="shared" si="13"/>
        <v>8126.3849207454832</v>
      </c>
      <c r="O53" s="27">
        <f t="shared" si="11"/>
        <v>365914.1976115919</v>
      </c>
    </row>
    <row r="54" spans="1:15" x14ac:dyDescent="0.25">
      <c r="A54" s="16">
        <v>8</v>
      </c>
      <c r="B54" s="17">
        <f t="shared" si="6"/>
        <v>32732.415861027002</v>
      </c>
      <c r="C54" s="17">
        <f t="shared" si="9"/>
        <v>9147.8549402897825</v>
      </c>
      <c r="D54" s="17">
        <f t="shared" si="7"/>
        <v>-41880.270801316787</v>
      </c>
      <c r="E54" s="17">
        <f>SUM($D$46:D54)+$B$7</f>
        <v>-407794.46841290791</v>
      </c>
      <c r="F54" s="18">
        <f>Таблица2[[#This Row],[Регулярный взнос]]*Таблица2[[#This Row],[Период]]</f>
        <v>261859.32688821602</v>
      </c>
      <c r="G54" s="18">
        <f>SUM($C$46:C54)</f>
        <v>45935.141524691899</v>
      </c>
      <c r="H54" s="25">
        <f t="shared" si="8"/>
        <v>100000</v>
      </c>
      <c r="K54" s="28">
        <v>8</v>
      </c>
      <c r="L54" s="27">
        <f t="shared" si="12"/>
        <v>365914.1976115919</v>
      </c>
      <c r="M54" s="27">
        <f t="shared" si="10"/>
        <v>32732.415861027101</v>
      </c>
      <c r="N54" s="27">
        <f t="shared" si="13"/>
        <v>9147.854940289797</v>
      </c>
      <c r="O54" s="27">
        <f t="shared" si="11"/>
        <v>407794.46841290878</v>
      </c>
    </row>
    <row r="55" spans="1:15" x14ac:dyDescent="0.25">
      <c r="A55" s="16">
        <v>9</v>
      </c>
      <c r="B55" s="17">
        <f t="shared" si="6"/>
        <v>32732.415861027002</v>
      </c>
      <c r="C55" s="17">
        <f t="shared" si="9"/>
        <v>10194.861710322701</v>
      </c>
      <c r="D55" s="17">
        <f t="shared" si="7"/>
        <v>-42927.277571349703</v>
      </c>
      <c r="E55" s="17">
        <f>SUM($D$46:D55)+$B$7</f>
        <v>-450721.74598425761</v>
      </c>
      <c r="F55" s="18">
        <f>Таблица2[[#This Row],[Регулярный взнос]]*Таблица2[[#This Row],[Период]]</f>
        <v>294591.74274924304</v>
      </c>
      <c r="G55" s="18">
        <f>SUM($C$46:C55)</f>
        <v>56130.003235014599</v>
      </c>
      <c r="H55" s="25">
        <f t="shared" si="8"/>
        <v>100000</v>
      </c>
      <c r="K55" s="28">
        <v>9</v>
      </c>
      <c r="L55" s="27">
        <f t="shared" si="12"/>
        <v>407794.46841290878</v>
      </c>
      <c r="M55" s="27">
        <f t="shared" si="10"/>
        <v>32732.415861027101</v>
      </c>
      <c r="N55" s="27">
        <f t="shared" si="13"/>
        <v>10194.861710322721</v>
      </c>
      <c r="O55" s="27">
        <f t="shared" si="11"/>
        <v>450721.7459842586</v>
      </c>
    </row>
    <row r="56" spans="1:15" x14ac:dyDescent="0.25">
      <c r="A56" s="16">
        <v>10</v>
      </c>
      <c r="B56" s="17">
        <f t="shared" si="6"/>
        <v>32732.415861027002</v>
      </c>
      <c r="C56" s="17">
        <f t="shared" si="9"/>
        <v>11268.043649606445</v>
      </c>
      <c r="D56" s="17">
        <f t="shared" si="7"/>
        <v>-44000.459510633445</v>
      </c>
      <c r="E56" s="17">
        <f>SUM($D$46:D56)+$B$7</f>
        <v>-494722.20549489104</v>
      </c>
      <c r="F56" s="18">
        <f>Таблица2[[#This Row],[Регулярный взнос]]*Таблица2[[#This Row],[Период]]</f>
        <v>327324.15861027001</v>
      </c>
      <c r="G56" s="18">
        <f>SUM($C$46:C56)</f>
        <v>67398.046884621042</v>
      </c>
      <c r="H56" s="25">
        <f t="shared" si="8"/>
        <v>100000</v>
      </c>
      <c r="K56" s="28">
        <v>10</v>
      </c>
      <c r="L56" s="27">
        <f t="shared" si="12"/>
        <v>450721.7459842586</v>
      </c>
      <c r="M56" s="27">
        <f t="shared" si="10"/>
        <v>32732.415861027101</v>
      </c>
      <c r="N56" s="27">
        <f t="shared" si="13"/>
        <v>11268.043649606465</v>
      </c>
      <c r="O56" s="27">
        <f t="shared" si="11"/>
        <v>494722.20549489214</v>
      </c>
    </row>
    <row r="57" spans="1:15" x14ac:dyDescent="0.25">
      <c r="A57" s="16">
        <v>11</v>
      </c>
      <c r="B57" s="17">
        <f t="shared" si="6"/>
        <v>32732.415861027002</v>
      </c>
      <c r="C57" s="17">
        <f t="shared" si="9"/>
        <v>12368.055137372281</v>
      </c>
      <c r="D57" s="17">
        <f t="shared" si="7"/>
        <v>-45100.470998399287</v>
      </c>
      <c r="E57" s="17">
        <f>SUM($D$46:D57)+$B$7</f>
        <v>-539822.67649329035</v>
      </c>
      <c r="F57" s="18">
        <f>Таблица2[[#This Row],[Регулярный взнос]]*Таблица2[[#This Row],[Период]]</f>
        <v>360056.57447129703</v>
      </c>
      <c r="G57" s="18">
        <f>SUM($C$46:C57)</f>
        <v>79766.102021993327</v>
      </c>
      <c r="H57" s="25">
        <f t="shared" si="8"/>
        <v>100000</v>
      </c>
      <c r="K57" s="28">
        <v>11</v>
      </c>
      <c r="L57" s="27">
        <f t="shared" si="12"/>
        <v>494722.20549489214</v>
      </c>
      <c r="M57" s="27">
        <f t="shared" si="10"/>
        <v>32732.415861027101</v>
      </c>
      <c r="N57" s="27">
        <f t="shared" si="13"/>
        <v>12368.055137372305</v>
      </c>
      <c r="O57" s="27">
        <f t="shared" si="11"/>
        <v>539822.67649329163</v>
      </c>
    </row>
    <row r="58" spans="1:15" x14ac:dyDescent="0.25">
      <c r="A58" s="16">
        <v>12</v>
      </c>
      <c r="B58" s="17">
        <f t="shared" si="6"/>
        <v>32732.415861027002</v>
      </c>
      <c r="C58" s="17">
        <f t="shared" si="9"/>
        <v>13495.566912332266</v>
      </c>
      <c r="D58" s="17">
        <f t="shared" si="7"/>
        <v>-46227.982773359261</v>
      </c>
      <c r="E58" s="17">
        <f>SUM($D$46:D58)+$B$7</f>
        <v>-586050.65926664963</v>
      </c>
      <c r="F58" s="18">
        <f>Таблица2[[#This Row],[Регулярный взнос]]*Таблица2[[#This Row],[Период]]</f>
        <v>392788.99033232406</v>
      </c>
      <c r="G58" s="18">
        <f>SUM($C$46:C58)</f>
        <v>93261.6689343256</v>
      </c>
      <c r="H58" s="25">
        <f t="shared" si="8"/>
        <v>100000</v>
      </c>
      <c r="K58" s="28">
        <v>12</v>
      </c>
      <c r="L58" s="27">
        <f t="shared" si="12"/>
        <v>539822.67649329163</v>
      </c>
      <c r="M58" s="27">
        <f t="shared" si="10"/>
        <v>32732.415861027101</v>
      </c>
      <c r="N58" s="27">
        <f t="shared" si="13"/>
        <v>13495.566912332291</v>
      </c>
      <c r="O58" s="27">
        <f t="shared" si="11"/>
        <v>586050.65926665103</v>
      </c>
    </row>
    <row r="59" spans="1:15" x14ac:dyDescent="0.25">
      <c r="A59" s="16">
        <v>13</v>
      </c>
      <c r="B59" s="17">
        <f t="shared" si="6"/>
        <v>32732.415861027002</v>
      </c>
      <c r="C59" s="17">
        <f t="shared" si="9"/>
        <v>14651.266481666244</v>
      </c>
      <c r="D59" s="17">
        <f t="shared" si="7"/>
        <v>-47383.682342693246</v>
      </c>
      <c r="E59" s="17">
        <f>SUM($D$46:D59)+$B$7</f>
        <v>-633434.34160934284</v>
      </c>
      <c r="F59" s="18">
        <f>Таблица2[[#This Row],[Регулярный взнос]]*Таблица2[[#This Row],[Период]]</f>
        <v>425521.40619335102</v>
      </c>
      <c r="G59" s="18">
        <f>SUM($C$46:C59)</f>
        <v>107912.93541599184</v>
      </c>
      <c r="H59" s="25">
        <f t="shared" si="8"/>
        <v>100000</v>
      </c>
      <c r="K59" s="28">
        <v>13</v>
      </c>
      <c r="L59" s="27">
        <f t="shared" si="12"/>
        <v>586050.65926665103</v>
      </c>
      <c r="M59" s="27">
        <f t="shared" si="10"/>
        <v>32732.415861027101</v>
      </c>
      <c r="N59" s="27">
        <f t="shared" si="13"/>
        <v>14651.266481666276</v>
      </c>
      <c r="O59" s="27">
        <f t="shared" si="11"/>
        <v>633434.34160934435</v>
      </c>
    </row>
    <row r="60" spans="1:15" x14ac:dyDescent="0.25">
      <c r="A60" s="16">
        <v>14</v>
      </c>
      <c r="B60" s="17">
        <f t="shared" si="6"/>
        <v>32732.415861027002</v>
      </c>
      <c r="C60" s="17">
        <f t="shared" si="9"/>
        <v>15835.858540233574</v>
      </c>
      <c r="D60" s="17">
        <f t="shared" si="7"/>
        <v>-48568.274401260576</v>
      </c>
      <c r="E60" s="17">
        <f>SUM($D$46:D60)+$B$7</f>
        <v>-682002.61601060338</v>
      </c>
      <c r="F60" s="18">
        <f>Таблица2[[#This Row],[Регулярный взнос]]*Таблица2[[#This Row],[Период]]</f>
        <v>458253.82205437805</v>
      </c>
      <c r="G60" s="18">
        <f>SUM($C$46:C60)</f>
        <v>123748.79395622542</v>
      </c>
      <c r="H60" s="25">
        <f t="shared" si="8"/>
        <v>100000</v>
      </c>
      <c r="K60" s="28">
        <v>14</v>
      </c>
      <c r="L60" s="27">
        <f t="shared" si="12"/>
        <v>633434.34160934435</v>
      </c>
      <c r="M60" s="27">
        <f t="shared" si="10"/>
        <v>32732.415861027101</v>
      </c>
      <c r="N60" s="27">
        <f t="shared" si="13"/>
        <v>15835.85854023361</v>
      </c>
      <c r="O60" s="27">
        <f t="shared" si="11"/>
        <v>682002.61601060501</v>
      </c>
    </row>
    <row r="61" spans="1:15" x14ac:dyDescent="0.25">
      <c r="A61" s="16">
        <v>15</v>
      </c>
      <c r="B61" s="17">
        <f t="shared" si="6"/>
        <v>32732.415861027002</v>
      </c>
      <c r="C61" s="17">
        <f t="shared" si="9"/>
        <v>17050.065400265092</v>
      </c>
      <c r="D61" s="17">
        <f t="shared" si="7"/>
        <v>-49782.481261292094</v>
      </c>
      <c r="E61" s="17">
        <f>SUM($D$46:D61)+$B$7</f>
        <v>-731785.0972718955</v>
      </c>
      <c r="F61" s="18">
        <f>Таблица2[[#This Row],[Регулярный взнос]]*Таблица2[[#This Row],[Период]]</f>
        <v>490986.23791540501</v>
      </c>
      <c r="G61" s="18">
        <f>SUM($C$46:C61)</f>
        <v>140798.85935649052</v>
      </c>
      <c r="H61" s="25">
        <f t="shared" si="8"/>
        <v>100000</v>
      </c>
      <c r="K61" s="28">
        <v>15</v>
      </c>
      <c r="L61" s="27">
        <f t="shared" si="12"/>
        <v>682002.61601060501</v>
      </c>
      <c r="M61" s="27">
        <f t="shared" si="10"/>
        <v>32732.415861027101</v>
      </c>
      <c r="N61" s="27">
        <f t="shared" si="13"/>
        <v>17050.065400265124</v>
      </c>
      <c r="O61" s="27">
        <f t="shared" si="11"/>
        <v>731785.09727189725</v>
      </c>
    </row>
    <row r="62" spans="1:15" x14ac:dyDescent="0.25">
      <c r="A62" s="16">
        <v>16</v>
      </c>
      <c r="B62" s="17">
        <f t="shared" si="6"/>
        <v>32732.415861027002</v>
      </c>
      <c r="C62" s="17">
        <f t="shared" si="9"/>
        <v>18294.627431797395</v>
      </c>
      <c r="D62" s="17">
        <f t="shared" si="7"/>
        <v>-51027.043292824397</v>
      </c>
      <c r="E62" s="17">
        <f>SUM($D$46:D62)+$B$7</f>
        <v>-782812.14056471991</v>
      </c>
      <c r="F62" s="18">
        <f>Таблица2[[#This Row],[Регулярный взнос]]*Таблица2[[#This Row],[Период]]</f>
        <v>523718.65377643204</v>
      </c>
      <c r="G62" s="18">
        <f>SUM($C$46:C62)</f>
        <v>159093.4867882879</v>
      </c>
      <c r="H62" s="25">
        <f t="shared" si="8"/>
        <v>100000</v>
      </c>
      <c r="K62" s="28">
        <v>16</v>
      </c>
      <c r="L62" s="27">
        <f t="shared" si="12"/>
        <v>731785.09727189725</v>
      </c>
      <c r="M62" s="27">
        <f t="shared" si="10"/>
        <v>32732.415861027101</v>
      </c>
      <c r="N62" s="27">
        <f t="shared" si="13"/>
        <v>18294.627431797431</v>
      </c>
      <c r="O62" s="27">
        <f t="shared" si="11"/>
        <v>782812.14056472178</v>
      </c>
    </row>
    <row r="63" spans="1:15" x14ac:dyDescent="0.25">
      <c r="A63" s="16">
        <v>17</v>
      </c>
      <c r="B63" s="17">
        <f t="shared" si="6"/>
        <v>32732.415861027002</v>
      </c>
      <c r="C63" s="17">
        <f t="shared" si="9"/>
        <v>19570.303514118004</v>
      </c>
      <c r="D63" s="17">
        <f t="shared" si="7"/>
        <v>-52302.71937514501</v>
      </c>
      <c r="E63" s="17">
        <f>SUM($D$46:D63)+$B$7</f>
        <v>-835114.85993986495</v>
      </c>
      <c r="F63" s="18">
        <f>Таблица2[[#This Row],[Регулярный взнос]]*Таблица2[[#This Row],[Период]]</f>
        <v>556451.069637459</v>
      </c>
      <c r="G63" s="18">
        <f>SUM($C$46:C63)</f>
        <v>178663.79030240592</v>
      </c>
      <c r="H63" s="25">
        <f t="shared" si="8"/>
        <v>100000</v>
      </c>
      <c r="K63" s="28">
        <v>17</v>
      </c>
      <c r="L63" s="27">
        <f t="shared" si="12"/>
        <v>782812.14056472178</v>
      </c>
      <c r="M63" s="27">
        <f t="shared" si="10"/>
        <v>32732.415861027101</v>
      </c>
      <c r="N63" s="27">
        <f t="shared" si="13"/>
        <v>19570.303514118044</v>
      </c>
      <c r="O63" s="27">
        <f t="shared" si="11"/>
        <v>835114.85993986693</v>
      </c>
    </row>
    <row r="64" spans="1:15" x14ac:dyDescent="0.25">
      <c r="A64" s="16">
        <v>18</v>
      </c>
      <c r="B64" s="17">
        <f t="shared" si="6"/>
        <v>32732.415861027002</v>
      </c>
      <c r="C64" s="17">
        <f t="shared" si="9"/>
        <v>20877.871498496628</v>
      </c>
      <c r="D64" s="17">
        <f t="shared" si="7"/>
        <v>-53610.287359523638</v>
      </c>
      <c r="E64" s="17">
        <f>SUM($D$46:D64)+$B$7</f>
        <v>-888725.14729938854</v>
      </c>
      <c r="F64" s="18">
        <f>Таблица2[[#This Row],[Регулярный взнос]]*Таблица2[[#This Row],[Период]]</f>
        <v>589183.48549848609</v>
      </c>
      <c r="G64" s="18">
        <f>SUM($C$46:C64)</f>
        <v>199541.66180090254</v>
      </c>
      <c r="H64" s="25">
        <f t="shared" si="8"/>
        <v>100000</v>
      </c>
      <c r="K64" s="28">
        <v>18</v>
      </c>
      <c r="L64" s="27">
        <f t="shared" si="12"/>
        <v>835114.85993986693</v>
      </c>
      <c r="M64" s="27">
        <f t="shared" si="10"/>
        <v>32732.415861027101</v>
      </c>
      <c r="N64" s="27">
        <f t="shared" si="13"/>
        <v>20877.871498496675</v>
      </c>
      <c r="O64" s="27">
        <f t="shared" si="11"/>
        <v>888725.14729939064</v>
      </c>
    </row>
    <row r="65" spans="1:15" x14ac:dyDescent="0.25">
      <c r="A65" s="16">
        <v>19</v>
      </c>
      <c r="B65" s="17">
        <f t="shared" si="6"/>
        <v>32732.415861027002</v>
      </c>
      <c r="C65" s="17">
        <f t="shared" si="9"/>
        <v>22218.128682484719</v>
      </c>
      <c r="D65" s="17">
        <f t="shared" si="7"/>
        <v>-54950.544543511729</v>
      </c>
      <c r="E65" s="17">
        <f>SUM($D$46:D65)+$B$7</f>
        <v>-943675.69184290024</v>
      </c>
      <c r="F65" s="18">
        <f>Таблица2[[#This Row],[Регулярный взнос]]*Таблица2[[#This Row],[Период]]</f>
        <v>621915.90135951305</v>
      </c>
      <c r="G65" s="18">
        <f>SUM($C$46:C65)</f>
        <v>221759.79048338725</v>
      </c>
      <c r="H65" s="25">
        <f t="shared" si="8"/>
        <v>100000</v>
      </c>
      <c r="K65" s="28">
        <v>19</v>
      </c>
      <c r="L65" s="27">
        <f t="shared" si="12"/>
        <v>888725.14729939064</v>
      </c>
      <c r="M65" s="27">
        <f t="shared" si="10"/>
        <v>32732.415861027101</v>
      </c>
      <c r="N65" s="27">
        <f t="shared" si="13"/>
        <v>22218.128682484767</v>
      </c>
      <c r="O65" s="27">
        <f t="shared" si="11"/>
        <v>943675.69184290245</v>
      </c>
    </row>
    <row r="66" spans="1:15" x14ac:dyDescent="0.25">
      <c r="A66" s="16">
        <v>20</v>
      </c>
      <c r="B66" s="17">
        <f t="shared" si="6"/>
        <v>32732.415861027002</v>
      </c>
      <c r="C66" s="17">
        <f t="shared" si="9"/>
        <v>23591.892296072514</v>
      </c>
      <c r="D66" s="17">
        <f t="shared" si="7"/>
        <v>-56324.30815709952</v>
      </c>
      <c r="E66" s="17">
        <f>SUM($D$46:D66)+$B$7</f>
        <v>-999999.99999999977</v>
      </c>
      <c r="F66" s="18">
        <f>Таблица2[[#This Row],[Регулярный взнос]]*Таблица2[[#This Row],[Период]]</f>
        <v>654648.31722054002</v>
      </c>
      <c r="G66" s="18">
        <f>SUM($C$46:C66)</f>
        <v>245351.68277945975</v>
      </c>
      <c r="H66" s="25">
        <f t="shared" si="8"/>
        <v>100000</v>
      </c>
      <c r="K66" s="28">
        <v>20</v>
      </c>
      <c r="L66" s="27">
        <f t="shared" si="12"/>
        <v>943675.69184290245</v>
      </c>
      <c r="M66" s="27">
        <f t="shared" si="10"/>
        <v>32732.415861027101</v>
      </c>
      <c r="N66" s="27">
        <f t="shared" si="13"/>
        <v>23591.892296072561</v>
      </c>
      <c r="O66" s="32">
        <f t="shared" si="11"/>
        <v>1000000.0000000021</v>
      </c>
    </row>
    <row r="67" spans="1:15" x14ac:dyDescent="0.25">
      <c r="A67" s="16"/>
      <c r="B67" s="23">
        <f>SUBTOTAL(109,Таблица2[Регулярный взнос])</f>
        <v>654648.31722054002</v>
      </c>
      <c r="C67" s="23">
        <f>SUBTOTAL(109,Таблица2[Начисленный % за период])</f>
        <v>245351.68277945975</v>
      </c>
      <c r="D67" s="23">
        <f>SUBTOTAL(109,Таблица2[Пополнение вклада за период (Взнос + %)])</f>
        <v>-899999.99999999977</v>
      </c>
      <c r="E67" s="17"/>
      <c r="F67" s="18"/>
      <c r="G67" s="18"/>
      <c r="K67" s="17"/>
      <c r="L67" s="17"/>
      <c r="M67" s="32">
        <f>SUM(M47:M66)</f>
        <v>654648.31722054188</v>
      </c>
      <c r="N67" s="32">
        <f>SUM(N47:N66)</f>
        <v>245351.68277946021</v>
      </c>
      <c r="O67" s="17"/>
    </row>
    <row r="69" spans="1:15" x14ac:dyDescent="0.25">
      <c r="J69" s="33" t="s">
        <v>31</v>
      </c>
      <c r="M69" s="32">
        <f>M67</f>
        <v>654648.31722054188</v>
      </c>
    </row>
    <row r="70" spans="1:15" x14ac:dyDescent="0.25">
      <c r="J70" t="s">
        <v>32</v>
      </c>
      <c r="M70" s="32">
        <f>N67</f>
        <v>245351.68277946021</v>
      </c>
    </row>
    <row r="71" spans="1:15" x14ac:dyDescent="0.25">
      <c r="J71" t="s">
        <v>46</v>
      </c>
      <c r="M71" s="32">
        <f>SUM(M69:M70)</f>
        <v>900000.0000000021</v>
      </c>
    </row>
    <row r="72" spans="1:15" x14ac:dyDescent="0.25">
      <c r="I72" s="1" t="s">
        <v>49</v>
      </c>
      <c r="J72" t="s">
        <v>47</v>
      </c>
      <c r="M72" s="32">
        <f>M71+L47</f>
        <v>1000000.0000000021</v>
      </c>
    </row>
    <row r="73" spans="1:15" x14ac:dyDescent="0.25">
      <c r="I73" s="1" t="s">
        <v>43</v>
      </c>
    </row>
    <row r="74" spans="1:15" x14ac:dyDescent="0.25">
      <c r="I74" s="34" t="s">
        <v>42</v>
      </c>
      <c r="M74" s="27">
        <f>B8-O66</f>
        <v>-2.0954757928848267E-9</v>
      </c>
    </row>
    <row r="75" spans="1:15" x14ac:dyDescent="0.25">
      <c r="I75" s="34" t="s">
        <v>41</v>
      </c>
      <c r="M75" s="27">
        <f>O66*B12</f>
        <v>25000.000000000055</v>
      </c>
    </row>
    <row r="76" spans="1:15" x14ac:dyDescent="0.25">
      <c r="I76" t="s">
        <v>48</v>
      </c>
      <c r="M76" s="32">
        <f>M72+M75</f>
        <v>1025000.0000000021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tableParts count="2"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56" t="s">
        <v>53</v>
      </c>
      <c r="B1" s="56"/>
      <c r="C1" s="56"/>
      <c r="D1" s="56"/>
      <c r="E1" s="56"/>
      <c r="F1" s="56"/>
      <c r="G1" s="56"/>
    </row>
    <row r="2" spans="1:7" ht="107.25" customHeight="1" x14ac:dyDescent="0.25">
      <c r="A2" s="37" t="s">
        <v>54</v>
      </c>
    </row>
    <row r="3" spans="1:7" ht="105" customHeight="1" x14ac:dyDescent="0.25">
      <c r="A3" s="37" t="s">
        <v>55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Лист7</vt:lpstr>
      <vt:lpstr>Вклад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2012-05-10T04:44:58Z</dcterms:created>
  <dcterms:modified xsi:type="dcterms:W3CDTF">2015-04-19T18:27:03Z</dcterms:modified>
</cp:coreProperties>
</file>