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8975" windowHeight="11955" tabRatio="700"/>
  </bookViews>
  <sheets>
    <sheet name="Выплата" sheetId="19" r:id="rId1"/>
    <sheet name="Лист7" sheetId="18" state="hidden" r:id="rId2"/>
    <sheet name="EXCEL2.RU (2)" sheetId="22" state="veryHidden" r:id="rId3"/>
    <sheet name="EXCEL2.RU" sheetId="21" r:id="rId4"/>
    <sheet name="Накопление" sheetId="20" r:id="rId5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M24" i="20" l="1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M52" i="20"/>
  <c r="M53" i="20"/>
  <c r="M54" i="20"/>
  <c r="M55" i="20"/>
  <c r="M56" i="20"/>
  <c r="M57" i="20"/>
  <c r="M58" i="20"/>
  <c r="M59" i="20"/>
  <c r="M60" i="20"/>
  <c r="M61" i="20"/>
  <c r="M62" i="20"/>
  <c r="M63" i="20"/>
  <c r="M64" i="20"/>
  <c r="M65" i="20"/>
  <c r="M66" i="20"/>
  <c r="M67" i="20"/>
  <c r="M68" i="20"/>
  <c r="M69" i="20"/>
  <c r="M70" i="20"/>
  <c r="M71" i="20"/>
  <c r="M72" i="20"/>
  <c r="M73" i="20"/>
  <c r="M74" i="20"/>
  <c r="M75" i="20"/>
  <c r="M76" i="20"/>
  <c r="M77" i="20"/>
  <c r="M78" i="20"/>
  <c r="M79" i="20"/>
  <c r="M80" i="20"/>
  <c r="M81" i="20"/>
  <c r="M82" i="20"/>
  <c r="M23" i="20"/>
  <c r="B23" i="20"/>
  <c r="B9" i="20"/>
  <c r="A52" i="20"/>
  <c r="B16" i="20"/>
  <c r="A23" i="20"/>
  <c r="B13" i="20"/>
  <c r="A25" i="20"/>
  <c r="A27" i="20"/>
  <c r="A29" i="20"/>
  <c r="A31" i="20"/>
  <c r="A33" i="20"/>
  <c r="A35" i="20"/>
  <c r="A37" i="20"/>
  <c r="A39" i="20"/>
  <c r="A41" i="20"/>
  <c r="A43" i="20"/>
  <c r="A45" i="20"/>
  <c r="A47" i="20"/>
  <c r="A49" i="20"/>
  <c r="A51" i="20"/>
  <c r="A81" i="20"/>
  <c r="A79" i="20"/>
  <c r="A77" i="20"/>
  <c r="A75" i="20"/>
  <c r="A73" i="20"/>
  <c r="A71" i="20"/>
  <c r="A69" i="20"/>
  <c r="A82" i="20"/>
  <c r="A80" i="20"/>
  <c r="A78" i="20"/>
  <c r="A76" i="20"/>
  <c r="A74" i="20"/>
  <c r="A72" i="20"/>
  <c r="A70" i="20"/>
  <c r="A68" i="20"/>
  <c r="A67" i="20"/>
  <c r="A65" i="20"/>
  <c r="A63" i="20"/>
  <c r="A61" i="20"/>
  <c r="A59" i="20"/>
  <c r="A57" i="20"/>
  <c r="A55" i="20"/>
  <c r="A53" i="20"/>
  <c r="A66" i="20"/>
  <c r="A64" i="20"/>
  <c r="A62" i="20"/>
  <c r="A60" i="20"/>
  <c r="A58" i="20"/>
  <c r="A56" i="20"/>
  <c r="A54" i="20"/>
  <c r="A24" i="20"/>
  <c r="A26" i="20"/>
  <c r="A28" i="20"/>
  <c r="A30" i="20"/>
  <c r="A32" i="20"/>
  <c r="A34" i="20"/>
  <c r="A36" i="20"/>
  <c r="A38" i="20"/>
  <c r="A40" i="20"/>
  <c r="A42" i="20"/>
  <c r="A44" i="20"/>
  <c r="A46" i="20"/>
  <c r="A48" i="20"/>
  <c r="A50" i="20"/>
  <c r="B9" i="19"/>
  <c r="B13" i="19"/>
  <c r="B14" i="19" s="1"/>
  <c r="B16" i="19"/>
  <c r="C23" i="20"/>
  <c r="C48" i="20"/>
  <c r="C44" i="20"/>
  <c r="C40" i="20"/>
  <c r="C50" i="20"/>
  <c r="C38" i="20"/>
  <c r="C30" i="20"/>
  <c r="C58" i="20"/>
  <c r="C51" i="20"/>
  <c r="D49" i="20"/>
  <c r="J49" i="20" s="1"/>
  <c r="C47" i="20"/>
  <c r="D45" i="20"/>
  <c r="J45" i="20" s="1"/>
  <c r="C43" i="20"/>
  <c r="D41" i="20"/>
  <c r="J41" i="20" s="1"/>
  <c r="C39" i="20"/>
  <c r="D37" i="20"/>
  <c r="J37" i="20" s="1"/>
  <c r="E51" i="20"/>
  <c r="E49" i="20"/>
  <c r="E47" i="20"/>
  <c r="E43" i="20"/>
  <c r="E39" i="20"/>
  <c r="E37" i="20"/>
  <c r="C32" i="20"/>
  <c r="C28" i="20"/>
  <c r="D24" i="20"/>
  <c r="J24" i="20" s="1"/>
  <c r="C68" i="20"/>
  <c r="C52" i="20"/>
  <c r="C46" i="20"/>
  <c r="E45" i="20"/>
  <c r="C42" i="20"/>
  <c r="E41" i="20"/>
  <c r="D38" i="20"/>
  <c r="J38" i="20" s="1"/>
  <c r="C36" i="20"/>
  <c r="E35" i="20"/>
  <c r="E31" i="20"/>
  <c r="E29" i="20"/>
  <c r="E27" i="20"/>
  <c r="B14" i="20"/>
  <c r="C53" i="20"/>
  <c r="C69" i="20"/>
  <c r="D34" i="20"/>
  <c r="J34" i="20" s="1"/>
  <c r="D26" i="20"/>
  <c r="J26" i="20" s="1"/>
  <c r="C34" i="20"/>
  <c r="E33" i="20"/>
  <c r="D30" i="20"/>
  <c r="J30" i="20" s="1"/>
  <c r="D28" i="20"/>
  <c r="J28" i="20" s="1"/>
  <c r="C26" i="20"/>
  <c r="E25" i="20"/>
  <c r="C24" i="20"/>
  <c r="E23" i="20"/>
  <c r="C66" i="20"/>
  <c r="C61" i="20"/>
  <c r="C76" i="20"/>
  <c r="C77" i="20"/>
  <c r="C54" i="20"/>
  <c r="C62" i="20"/>
  <c r="C57" i="20"/>
  <c r="C65" i="20"/>
  <c r="C72" i="20"/>
  <c r="C80" i="20"/>
  <c r="C73" i="20"/>
  <c r="C81" i="20"/>
  <c r="D52" i="20"/>
  <c r="J52" i="20" s="1"/>
  <c r="C56" i="20"/>
  <c r="C60" i="20"/>
  <c r="C64" i="20"/>
  <c r="E52" i="20"/>
  <c r="C55" i="20"/>
  <c r="C59" i="20"/>
  <c r="C63" i="20"/>
  <c r="C67" i="20"/>
  <c r="C70" i="20"/>
  <c r="C74" i="20"/>
  <c r="C78" i="20"/>
  <c r="C82" i="20"/>
  <c r="C71" i="20"/>
  <c r="C75" i="20"/>
  <c r="C79" i="20"/>
  <c r="D51" i="20"/>
  <c r="J51" i="20" s="1"/>
  <c r="C49" i="20"/>
  <c r="D47" i="20"/>
  <c r="J47" i="20" s="1"/>
  <c r="C45" i="20"/>
  <c r="D43" i="20"/>
  <c r="J43" i="20"/>
  <c r="C41" i="20"/>
  <c r="D39" i="20"/>
  <c r="J39" i="20" s="1"/>
  <c r="C25" i="20"/>
  <c r="D58" i="20"/>
  <c r="J58" i="20" s="1"/>
  <c r="C37" i="20"/>
  <c r="D35" i="20"/>
  <c r="J35" i="20" s="1"/>
  <c r="D33" i="20"/>
  <c r="J33" i="20" s="1"/>
  <c r="D31" i="20"/>
  <c r="J31" i="20" s="1"/>
  <c r="D29" i="20"/>
  <c r="J29" i="20" s="1"/>
  <c r="D27" i="20"/>
  <c r="J27" i="20" s="1"/>
  <c r="D23" i="20"/>
  <c r="J23" i="20" s="1"/>
  <c r="D32" i="20"/>
  <c r="J32" i="20" s="1"/>
  <c r="D36" i="20"/>
  <c r="J36" i="20" s="1"/>
  <c r="D54" i="20"/>
  <c r="J54" i="20" s="1"/>
  <c r="D62" i="20"/>
  <c r="J62" i="20" s="1"/>
  <c r="C35" i="20"/>
  <c r="C33" i="20"/>
  <c r="C31" i="20"/>
  <c r="C29" i="20"/>
  <c r="C27" i="20"/>
  <c r="D25" i="20"/>
  <c r="J25" i="20" s="1"/>
  <c r="D48" i="20"/>
  <c r="J48" i="20" s="1"/>
  <c r="D44" i="20"/>
  <c r="J44" i="20" s="1"/>
  <c r="E55" i="20"/>
  <c r="D56" i="20"/>
  <c r="J56" i="20" s="1"/>
  <c r="E59" i="20"/>
  <c r="D60" i="20"/>
  <c r="J60" i="20"/>
  <c r="E63" i="20"/>
  <c r="D64" i="20"/>
  <c r="J64" i="20" s="1"/>
  <c r="E67" i="20"/>
  <c r="E54" i="20"/>
  <c r="D55" i="20"/>
  <c r="J55" i="20" s="1"/>
  <c r="E58" i="20"/>
  <c r="D59" i="20"/>
  <c r="J59" i="20"/>
  <c r="E62" i="20"/>
  <c r="D63" i="20"/>
  <c r="J63" i="20" s="1"/>
  <c r="E66" i="20"/>
  <c r="D67" i="20"/>
  <c r="J67" i="20" s="1"/>
  <c r="D68" i="20"/>
  <c r="J68" i="20" s="1"/>
  <c r="E71" i="20"/>
  <c r="D72" i="20"/>
  <c r="J72" i="20" s="1"/>
  <c r="E75" i="20"/>
  <c r="D76" i="20"/>
  <c r="J76" i="20"/>
  <c r="E79" i="20"/>
  <c r="D80" i="20"/>
  <c r="J80" i="20" s="1"/>
  <c r="E70" i="20"/>
  <c r="D71" i="20"/>
  <c r="J71" i="20" s="1"/>
  <c r="E74" i="20"/>
  <c r="D75" i="20"/>
  <c r="J75" i="20" s="1"/>
  <c r="E78" i="20"/>
  <c r="D79" i="20"/>
  <c r="J79" i="20"/>
  <c r="E82" i="20"/>
  <c r="E50" i="20"/>
  <c r="E48" i="20"/>
  <c r="E46" i="20"/>
  <c r="E44" i="20"/>
  <c r="E42" i="20"/>
  <c r="E40" i="20"/>
  <c r="E38" i="20"/>
  <c r="E36" i="20"/>
  <c r="E34" i="20"/>
  <c r="E32" i="20"/>
  <c r="E30" i="20"/>
  <c r="E28" i="20"/>
  <c r="E26" i="20"/>
  <c r="E24" i="20"/>
  <c r="D50" i="20"/>
  <c r="J50" i="20" s="1"/>
  <c r="D46" i="20"/>
  <c r="J46" i="20" s="1"/>
  <c r="D42" i="20"/>
  <c r="J42" i="20" s="1"/>
  <c r="D40" i="20"/>
  <c r="J40" i="20" s="1"/>
  <c r="E53" i="20"/>
  <c r="E57" i="20"/>
  <c r="E61" i="20"/>
  <c r="E65" i="20"/>
  <c r="D66" i="20"/>
  <c r="J66" i="20" s="1"/>
  <c r="D53" i="20"/>
  <c r="J53" i="20" s="1"/>
  <c r="E56" i="20"/>
  <c r="D57" i="20"/>
  <c r="J57" i="20"/>
  <c r="E60" i="20"/>
  <c r="D61" i="20"/>
  <c r="J61" i="20" s="1"/>
  <c r="E64" i="20"/>
  <c r="D65" i="20"/>
  <c r="J65" i="20" s="1"/>
  <c r="E69" i="20"/>
  <c r="D70" i="20"/>
  <c r="J70" i="20" s="1"/>
  <c r="E73" i="20"/>
  <c r="D74" i="20"/>
  <c r="J74" i="20"/>
  <c r="E77" i="20"/>
  <c r="D78" i="20"/>
  <c r="J78" i="20" s="1"/>
  <c r="E81" i="20"/>
  <c r="D82" i="20"/>
  <c r="J82" i="20" s="1"/>
  <c r="E68" i="20"/>
  <c r="D69" i="20"/>
  <c r="J69" i="20" s="1"/>
  <c r="E72" i="20"/>
  <c r="D73" i="20"/>
  <c r="J73" i="20"/>
  <c r="E76" i="20"/>
  <c r="D77" i="20"/>
  <c r="J77" i="20" s="1"/>
  <c r="E80" i="20"/>
  <c r="D81" i="20"/>
  <c r="J81" i="20" s="1"/>
  <c r="B23" i="19"/>
  <c r="C81" i="19"/>
  <c r="C77" i="19"/>
  <c r="C73" i="19"/>
  <c r="C69" i="19"/>
  <c r="C65" i="19"/>
  <c r="C61" i="19"/>
  <c r="C57" i="19"/>
  <c r="C53" i="19"/>
  <c r="C49" i="19"/>
  <c r="C45" i="19"/>
  <c r="C41" i="19"/>
  <c r="C37" i="19"/>
  <c r="C33" i="19"/>
  <c r="C29" i="19"/>
  <c r="C25" i="19"/>
  <c r="C82" i="19"/>
  <c r="C78" i="19"/>
  <c r="C74" i="19"/>
  <c r="C70" i="19"/>
  <c r="C66" i="19"/>
  <c r="C62" i="19"/>
  <c r="C58" i="19"/>
  <c r="C54" i="19"/>
  <c r="C50" i="19"/>
  <c r="C46" i="19"/>
  <c r="C42" i="19"/>
  <c r="C38" i="19"/>
  <c r="C32" i="19"/>
  <c r="C24" i="19"/>
  <c r="C79" i="19"/>
  <c r="C75" i="19"/>
  <c r="C71" i="19"/>
  <c r="C67" i="19"/>
  <c r="C63" i="19"/>
  <c r="C59" i="19"/>
  <c r="C55" i="19"/>
  <c r="C51" i="19"/>
  <c r="C47" i="19"/>
  <c r="C43" i="19"/>
  <c r="C39" i="19"/>
  <c r="C35" i="19"/>
  <c r="C31" i="19"/>
  <c r="C27" i="19"/>
  <c r="C23" i="19"/>
  <c r="C80" i="19"/>
  <c r="C76" i="19"/>
  <c r="C72" i="19"/>
  <c r="C68" i="19"/>
  <c r="C64" i="19"/>
  <c r="C60" i="19"/>
  <c r="C56" i="19"/>
  <c r="C52" i="19"/>
  <c r="C48" i="19"/>
  <c r="C44" i="19"/>
  <c r="C40" i="19"/>
  <c r="C36" i="19"/>
  <c r="C28" i="19"/>
  <c r="C34" i="19"/>
  <c r="C30" i="19"/>
  <c r="C26" i="19"/>
  <c r="C83" i="20"/>
  <c r="G29" i="20"/>
  <c r="I29" i="20"/>
  <c r="K29" i="20" s="1"/>
  <c r="G33" i="20"/>
  <c r="I33" i="20"/>
  <c r="K33" i="20" s="1"/>
  <c r="G37" i="20"/>
  <c r="I37" i="20"/>
  <c r="K37" i="20" s="1"/>
  <c r="G25" i="20"/>
  <c r="I25" i="20"/>
  <c r="K25" i="20"/>
  <c r="G41" i="20"/>
  <c r="I41" i="20"/>
  <c r="K41" i="20" s="1"/>
  <c r="G45" i="20"/>
  <c r="I45" i="20"/>
  <c r="K45" i="20" s="1"/>
  <c r="G49" i="20"/>
  <c r="I49" i="20"/>
  <c r="K49" i="20" s="1"/>
  <c r="G79" i="20"/>
  <c r="I79" i="20"/>
  <c r="K79" i="20"/>
  <c r="G71" i="20"/>
  <c r="I71" i="20"/>
  <c r="K71" i="20" s="1"/>
  <c r="G78" i="20"/>
  <c r="I78" i="20"/>
  <c r="K78" i="20" s="1"/>
  <c r="G70" i="20"/>
  <c r="I70" i="20"/>
  <c r="K70" i="20" s="1"/>
  <c r="G63" i="20"/>
  <c r="I63" i="20"/>
  <c r="K63" i="20"/>
  <c r="G55" i="20"/>
  <c r="I55" i="20"/>
  <c r="K55" i="20" s="1"/>
  <c r="G64" i="20"/>
  <c r="I64" i="20"/>
  <c r="K64" i="20" s="1"/>
  <c r="G56" i="20"/>
  <c r="I56" i="20"/>
  <c r="K56" i="20" s="1"/>
  <c r="G81" i="20"/>
  <c r="I81" i="20"/>
  <c r="K81" i="20"/>
  <c r="G80" i="20"/>
  <c r="I80" i="20"/>
  <c r="K80" i="20" s="1"/>
  <c r="G65" i="20"/>
  <c r="I65" i="20"/>
  <c r="K65" i="20" s="1"/>
  <c r="G62" i="20"/>
  <c r="I62" i="20"/>
  <c r="K62" i="20" s="1"/>
  <c r="G77" i="20"/>
  <c r="I77" i="20"/>
  <c r="K77" i="20"/>
  <c r="G61" i="20"/>
  <c r="I61" i="20"/>
  <c r="K61" i="20" s="1"/>
  <c r="G69" i="20"/>
  <c r="I69" i="20"/>
  <c r="K69" i="20" s="1"/>
  <c r="G42" i="20"/>
  <c r="I42" i="20"/>
  <c r="K42" i="20" s="1"/>
  <c r="G46" i="20"/>
  <c r="I46" i="20"/>
  <c r="K46" i="20"/>
  <c r="G68" i="20"/>
  <c r="I68" i="20"/>
  <c r="K68" i="20" s="1"/>
  <c r="G28" i="20"/>
  <c r="I28" i="20"/>
  <c r="K28" i="20" s="1"/>
  <c r="G58" i="20"/>
  <c r="I58" i="20"/>
  <c r="K58" i="20" s="1"/>
  <c r="G38" i="20"/>
  <c r="I38" i="20"/>
  <c r="K38" i="20"/>
  <c r="G40" i="20"/>
  <c r="I40" i="20"/>
  <c r="K40" i="20" s="1"/>
  <c r="G48" i="20"/>
  <c r="I48" i="20"/>
  <c r="K48" i="20" s="1"/>
  <c r="G27" i="20"/>
  <c r="I27" i="20"/>
  <c r="K27" i="20" s="1"/>
  <c r="G31" i="20"/>
  <c r="I31" i="20"/>
  <c r="K31" i="20"/>
  <c r="G35" i="20"/>
  <c r="I35" i="20"/>
  <c r="K35" i="20" s="1"/>
  <c r="G75" i="20"/>
  <c r="I75" i="20"/>
  <c r="K75" i="20" s="1"/>
  <c r="G82" i="20"/>
  <c r="I82" i="20"/>
  <c r="K82" i="20" s="1"/>
  <c r="G74" i="20"/>
  <c r="I74" i="20"/>
  <c r="K74" i="20"/>
  <c r="G67" i="20"/>
  <c r="I67" i="20"/>
  <c r="K67" i="20" s="1"/>
  <c r="G59" i="20"/>
  <c r="I59" i="20"/>
  <c r="K59" i="20" s="1"/>
  <c r="G60" i="20"/>
  <c r="I60" i="20"/>
  <c r="K60" i="20" s="1"/>
  <c r="G73" i="20"/>
  <c r="I73" i="20"/>
  <c r="K73" i="20"/>
  <c r="G72" i="20"/>
  <c r="I72" i="20"/>
  <c r="K72" i="20" s="1"/>
  <c r="G57" i="20"/>
  <c r="I57" i="20"/>
  <c r="K57" i="20" s="1"/>
  <c r="G54" i="20"/>
  <c r="I54" i="20"/>
  <c r="K54" i="20" s="1"/>
  <c r="G76" i="20"/>
  <c r="I76" i="20"/>
  <c r="K76" i="20"/>
  <c r="G66" i="20"/>
  <c r="I66" i="20"/>
  <c r="K66" i="20" s="1"/>
  <c r="G24" i="20"/>
  <c r="I24" i="20"/>
  <c r="K24" i="20" s="1"/>
  <c r="G26" i="20"/>
  <c r="I26" i="20"/>
  <c r="K26" i="20" s="1"/>
  <c r="G34" i="20"/>
  <c r="I34" i="20"/>
  <c r="K34" i="20"/>
  <c r="G53" i="20"/>
  <c r="I53" i="20"/>
  <c r="K53" i="20" s="1"/>
  <c r="G36" i="20"/>
  <c r="I36" i="20"/>
  <c r="K36" i="20" s="1"/>
  <c r="G52" i="20"/>
  <c r="I52" i="20"/>
  <c r="K52" i="20" s="1"/>
  <c r="G32" i="20"/>
  <c r="I32" i="20"/>
  <c r="K32" i="20"/>
  <c r="G39" i="20"/>
  <c r="I39" i="20"/>
  <c r="K39" i="20" s="1"/>
  <c r="G43" i="20"/>
  <c r="I43" i="20"/>
  <c r="K43" i="20" s="1"/>
  <c r="G47" i="20"/>
  <c r="I47" i="20"/>
  <c r="K47" i="20" s="1"/>
  <c r="G51" i="20"/>
  <c r="I51" i="20"/>
  <c r="K51" i="20"/>
  <c r="G30" i="20"/>
  <c r="I30" i="20"/>
  <c r="K30" i="20" s="1"/>
  <c r="G50" i="20"/>
  <c r="I50" i="20"/>
  <c r="K50" i="20" s="1"/>
  <c r="G44" i="20"/>
  <c r="I44" i="20"/>
  <c r="K44" i="20" s="1"/>
  <c r="G23" i="20"/>
  <c r="I23" i="20"/>
  <c r="K23" i="20"/>
  <c r="D83" i="20"/>
  <c r="F24" i="20"/>
  <c r="F26" i="20"/>
  <c r="F28" i="20"/>
  <c r="F30" i="20"/>
  <c r="F32" i="20"/>
  <c r="F34" i="20"/>
  <c r="F36" i="20"/>
  <c r="F38" i="20"/>
  <c r="F40" i="20"/>
  <c r="F42" i="20"/>
  <c r="F44" i="20"/>
  <c r="F46" i="20"/>
  <c r="F48" i="20"/>
  <c r="F50" i="20"/>
  <c r="F52" i="20"/>
  <c r="F54" i="20"/>
  <c r="F56" i="20"/>
  <c r="F58" i="20"/>
  <c r="F60" i="20"/>
  <c r="F62" i="20"/>
  <c r="F64" i="20"/>
  <c r="F66" i="20"/>
  <c r="F68" i="20"/>
  <c r="F70" i="20"/>
  <c r="F72" i="20"/>
  <c r="F74" i="20"/>
  <c r="F76" i="20"/>
  <c r="F78" i="20"/>
  <c r="F80" i="20"/>
  <c r="F82" i="20"/>
  <c r="F23" i="20"/>
  <c r="F25" i="20"/>
  <c r="F27" i="20"/>
  <c r="F29" i="20"/>
  <c r="F31" i="20"/>
  <c r="F33" i="20"/>
  <c r="F35" i="20"/>
  <c r="F37" i="20"/>
  <c r="F39" i="20"/>
  <c r="F41" i="20"/>
  <c r="F43" i="20"/>
  <c r="F45" i="20"/>
  <c r="F47" i="20"/>
  <c r="F49" i="20"/>
  <c r="F51" i="20"/>
  <c r="F53" i="20"/>
  <c r="F55" i="20"/>
  <c r="F57" i="20"/>
  <c r="F59" i="20"/>
  <c r="F61" i="20"/>
  <c r="F63" i="20"/>
  <c r="F65" i="20"/>
  <c r="F67" i="20"/>
  <c r="F69" i="20"/>
  <c r="F71" i="20"/>
  <c r="F73" i="20"/>
  <c r="F75" i="20"/>
  <c r="F77" i="20"/>
  <c r="F79" i="20"/>
  <c r="F81" i="20"/>
  <c r="B24" i="20"/>
  <c r="B26" i="20"/>
  <c r="B28" i="20"/>
  <c r="B30" i="20"/>
  <c r="B32" i="20"/>
  <c r="B34" i="20"/>
  <c r="B36" i="20"/>
  <c r="B38" i="20"/>
  <c r="B40" i="20"/>
  <c r="B42" i="20"/>
  <c r="B44" i="20"/>
  <c r="B46" i="20"/>
  <c r="B48" i="20"/>
  <c r="B50" i="20"/>
  <c r="B68" i="20"/>
  <c r="B70" i="20"/>
  <c r="B72" i="20"/>
  <c r="B74" i="20"/>
  <c r="B76" i="20"/>
  <c r="B78" i="20"/>
  <c r="B80" i="20"/>
  <c r="B82" i="20"/>
  <c r="B25" i="20"/>
  <c r="B27" i="20"/>
  <c r="B29" i="20"/>
  <c r="B31" i="20"/>
  <c r="B33" i="20"/>
  <c r="B35" i="20"/>
  <c r="B37" i="20"/>
  <c r="B39" i="20"/>
  <c r="B41" i="20"/>
  <c r="B43" i="20"/>
  <c r="B45" i="20"/>
  <c r="B47" i="20"/>
  <c r="B49" i="20"/>
  <c r="B51" i="20"/>
  <c r="B53" i="20"/>
  <c r="B55" i="20"/>
  <c r="B57" i="20"/>
  <c r="B59" i="20"/>
  <c r="B61" i="20"/>
  <c r="B63" i="20"/>
  <c r="B65" i="20"/>
  <c r="B67" i="20"/>
  <c r="B52" i="20"/>
  <c r="B54" i="20"/>
  <c r="B56" i="20"/>
  <c r="B58" i="20"/>
  <c r="B60" i="20"/>
  <c r="B62" i="20"/>
  <c r="B64" i="20"/>
  <c r="B66" i="20"/>
  <c r="B69" i="20"/>
  <c r="B71" i="20"/>
  <c r="B73" i="20"/>
  <c r="B75" i="20"/>
  <c r="B77" i="20"/>
  <c r="B79" i="20"/>
  <c r="B81" i="20"/>
  <c r="E83" i="20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J80" i="19" s="1"/>
  <c r="A81" i="19"/>
  <c r="A82" i="19"/>
  <c r="K81" i="19"/>
  <c r="J81" i="19"/>
  <c r="K79" i="19"/>
  <c r="J79" i="19"/>
  <c r="K77" i="19"/>
  <c r="J77" i="19"/>
  <c r="K75" i="19"/>
  <c r="J75" i="19"/>
  <c r="K73" i="19"/>
  <c r="J73" i="19"/>
  <c r="K71" i="19"/>
  <c r="J71" i="19"/>
  <c r="K69" i="19"/>
  <c r="J69" i="19"/>
  <c r="K67" i="19"/>
  <c r="J67" i="19"/>
  <c r="K65" i="19"/>
  <c r="J65" i="19"/>
  <c r="K63" i="19"/>
  <c r="J63" i="19"/>
  <c r="K61" i="19"/>
  <c r="J61" i="19"/>
  <c r="K59" i="19"/>
  <c r="J59" i="19"/>
  <c r="K57" i="19"/>
  <c r="J57" i="19"/>
  <c r="K55" i="19"/>
  <c r="J55" i="19"/>
  <c r="K53" i="19"/>
  <c r="J53" i="19"/>
  <c r="K51" i="19"/>
  <c r="J51" i="19"/>
  <c r="K49" i="19"/>
  <c r="J49" i="19"/>
  <c r="K47" i="19"/>
  <c r="J47" i="19"/>
  <c r="K45" i="19"/>
  <c r="J45" i="19"/>
  <c r="K43" i="19"/>
  <c r="J43" i="19"/>
  <c r="K41" i="19"/>
  <c r="J41" i="19"/>
  <c r="K39" i="19"/>
  <c r="J39" i="19"/>
  <c r="K37" i="19"/>
  <c r="J37" i="19"/>
  <c r="K35" i="19"/>
  <c r="J35" i="19"/>
  <c r="K33" i="19"/>
  <c r="J33" i="19"/>
  <c r="K31" i="19"/>
  <c r="J31" i="19"/>
  <c r="J28" i="19"/>
  <c r="K28" i="19"/>
  <c r="J26" i="19"/>
  <c r="K26" i="19"/>
  <c r="J24" i="19"/>
  <c r="K24" i="19"/>
  <c r="J82" i="19"/>
  <c r="K82" i="19"/>
  <c r="J78" i="19"/>
  <c r="K78" i="19"/>
  <c r="J76" i="19"/>
  <c r="K76" i="19"/>
  <c r="J74" i="19"/>
  <c r="K74" i="19"/>
  <c r="J72" i="19"/>
  <c r="K72" i="19"/>
  <c r="J70" i="19"/>
  <c r="K70" i="19"/>
  <c r="J68" i="19"/>
  <c r="K68" i="19"/>
  <c r="J66" i="19"/>
  <c r="K66" i="19"/>
  <c r="J64" i="19"/>
  <c r="K64" i="19"/>
  <c r="J62" i="19"/>
  <c r="K62" i="19"/>
  <c r="J60" i="19"/>
  <c r="K60" i="19"/>
  <c r="J58" i="19"/>
  <c r="K58" i="19"/>
  <c r="J56" i="19"/>
  <c r="K56" i="19"/>
  <c r="J54" i="19"/>
  <c r="K54" i="19"/>
  <c r="J52" i="19"/>
  <c r="K52" i="19"/>
  <c r="J50" i="19"/>
  <c r="K50" i="19"/>
  <c r="J48" i="19"/>
  <c r="K48" i="19"/>
  <c r="J46" i="19"/>
  <c r="K46" i="19"/>
  <c r="J44" i="19"/>
  <c r="K44" i="19"/>
  <c r="J42" i="19"/>
  <c r="K42" i="19"/>
  <c r="J40" i="19"/>
  <c r="K40" i="19"/>
  <c r="J38" i="19"/>
  <c r="K38" i="19"/>
  <c r="J36" i="19"/>
  <c r="K36" i="19"/>
  <c r="J34" i="19"/>
  <c r="K34" i="19"/>
  <c r="J32" i="19"/>
  <c r="K32" i="19"/>
  <c r="J30" i="19"/>
  <c r="K30" i="19"/>
  <c r="K29" i="19"/>
  <c r="J29" i="19"/>
  <c r="K27" i="19"/>
  <c r="J27" i="19"/>
  <c r="K25" i="19"/>
  <c r="J25" i="19"/>
  <c r="K23" i="19"/>
  <c r="J23" i="19"/>
  <c r="I82" i="19"/>
  <c r="I24" i="19"/>
  <c r="I26" i="19"/>
  <c r="I28" i="19"/>
  <c r="I30" i="19"/>
  <c r="I32" i="19"/>
  <c r="I34" i="19"/>
  <c r="I36" i="19"/>
  <c r="I38" i="19"/>
  <c r="I40" i="19"/>
  <c r="I42" i="19"/>
  <c r="I44" i="19"/>
  <c r="I46" i="19"/>
  <c r="I48" i="19"/>
  <c r="I50" i="19"/>
  <c r="I52" i="19"/>
  <c r="I54" i="19"/>
  <c r="I56" i="19"/>
  <c r="I58" i="19"/>
  <c r="I60" i="19"/>
  <c r="I62" i="19"/>
  <c r="I64" i="19"/>
  <c r="I66" i="19"/>
  <c r="I68" i="19"/>
  <c r="I70" i="19"/>
  <c r="I72" i="19"/>
  <c r="I74" i="19"/>
  <c r="I76" i="19"/>
  <c r="I78" i="19"/>
  <c r="I80" i="19"/>
  <c r="I23" i="19"/>
  <c r="I25" i="19"/>
  <c r="I27" i="19"/>
  <c r="I29" i="19"/>
  <c r="I31" i="19"/>
  <c r="I33" i="19"/>
  <c r="I35" i="19"/>
  <c r="I37" i="19"/>
  <c r="I39" i="19"/>
  <c r="I41" i="19"/>
  <c r="I43" i="19"/>
  <c r="I45" i="19"/>
  <c r="I47" i="19"/>
  <c r="I49" i="19"/>
  <c r="I51" i="19"/>
  <c r="I53" i="19"/>
  <c r="I55" i="19"/>
  <c r="I57" i="19"/>
  <c r="I59" i="19"/>
  <c r="I61" i="19"/>
  <c r="I63" i="19"/>
  <c r="I65" i="19"/>
  <c r="I67" i="19"/>
  <c r="I69" i="19"/>
  <c r="I71" i="19"/>
  <c r="I73" i="19"/>
  <c r="I75" i="19"/>
  <c r="I77" i="19"/>
  <c r="I79" i="19"/>
  <c r="I81" i="19"/>
  <c r="E79" i="19"/>
  <c r="D79" i="19"/>
  <c r="E75" i="19"/>
  <c r="D75" i="19"/>
  <c r="E71" i="19"/>
  <c r="D71" i="19"/>
  <c r="E67" i="19"/>
  <c r="D67" i="19"/>
  <c r="E63" i="19"/>
  <c r="D63" i="19"/>
  <c r="E59" i="19"/>
  <c r="D59" i="19"/>
  <c r="E55" i="19"/>
  <c r="D55" i="19"/>
  <c r="E51" i="19"/>
  <c r="D51" i="19"/>
  <c r="E47" i="19"/>
  <c r="D47" i="19"/>
  <c r="E43" i="19"/>
  <c r="D43" i="19"/>
  <c r="E39" i="19"/>
  <c r="D39" i="19"/>
  <c r="E37" i="19"/>
  <c r="D37" i="19"/>
  <c r="E35" i="19"/>
  <c r="D35" i="19"/>
  <c r="E33" i="19"/>
  <c r="D33" i="19"/>
  <c r="E31" i="19"/>
  <c r="D31" i="19"/>
  <c r="E28" i="19"/>
  <c r="D28" i="19"/>
  <c r="E26" i="19"/>
  <c r="D26" i="19"/>
  <c r="E24" i="19"/>
  <c r="D24" i="19"/>
  <c r="E81" i="19"/>
  <c r="D81" i="19"/>
  <c r="E77" i="19"/>
  <c r="D77" i="19"/>
  <c r="E73" i="19"/>
  <c r="D73" i="19"/>
  <c r="E69" i="19"/>
  <c r="D69" i="19"/>
  <c r="E65" i="19"/>
  <c r="D65" i="19"/>
  <c r="E61" i="19"/>
  <c r="D61" i="19"/>
  <c r="E57" i="19"/>
  <c r="D57" i="19"/>
  <c r="E53" i="19"/>
  <c r="D53" i="19"/>
  <c r="E49" i="19"/>
  <c r="D49" i="19"/>
  <c r="E45" i="19"/>
  <c r="D45" i="19"/>
  <c r="E41" i="19"/>
  <c r="D41" i="19"/>
  <c r="E82" i="19"/>
  <c r="D82" i="19"/>
  <c r="E80" i="19"/>
  <c r="D80" i="19"/>
  <c r="E78" i="19"/>
  <c r="D78" i="19"/>
  <c r="E76" i="19"/>
  <c r="D76" i="19"/>
  <c r="E74" i="19"/>
  <c r="D74" i="19"/>
  <c r="E72" i="19"/>
  <c r="D72" i="19"/>
  <c r="E70" i="19"/>
  <c r="D70" i="19"/>
  <c r="E68" i="19"/>
  <c r="D68" i="19"/>
  <c r="E66" i="19"/>
  <c r="D66" i="19"/>
  <c r="E64" i="19"/>
  <c r="D64" i="19"/>
  <c r="E62" i="19"/>
  <c r="D62" i="19"/>
  <c r="E60" i="19"/>
  <c r="D60" i="19"/>
  <c r="E58" i="19"/>
  <c r="D58" i="19"/>
  <c r="E56" i="19"/>
  <c r="D56" i="19"/>
  <c r="E54" i="19"/>
  <c r="D54" i="19"/>
  <c r="E52" i="19"/>
  <c r="D52" i="19"/>
  <c r="E50" i="19"/>
  <c r="D50" i="19"/>
  <c r="E48" i="19"/>
  <c r="D48" i="19"/>
  <c r="E46" i="19"/>
  <c r="D46" i="19"/>
  <c r="E44" i="19"/>
  <c r="D44" i="19"/>
  <c r="E42" i="19"/>
  <c r="D42" i="19"/>
  <c r="E40" i="19"/>
  <c r="D40" i="19"/>
  <c r="E38" i="19"/>
  <c r="D38" i="19"/>
  <c r="E36" i="19"/>
  <c r="D36" i="19"/>
  <c r="E34" i="19"/>
  <c r="D34" i="19"/>
  <c r="E32" i="19"/>
  <c r="D32" i="19"/>
  <c r="E30" i="19"/>
  <c r="D30" i="19"/>
  <c r="E29" i="19"/>
  <c r="D29" i="19"/>
  <c r="E27" i="19"/>
  <c r="D27" i="19"/>
  <c r="E25" i="19"/>
  <c r="D25" i="19"/>
  <c r="E23" i="19"/>
  <c r="D23" i="19"/>
  <c r="H26" i="19"/>
  <c r="H30" i="19"/>
  <c r="H34" i="19"/>
  <c r="H38" i="19"/>
  <c r="H42" i="19"/>
  <c r="H46" i="19"/>
  <c r="H50" i="19"/>
  <c r="H54" i="19"/>
  <c r="H58" i="19"/>
  <c r="H62" i="19"/>
  <c r="H66" i="19"/>
  <c r="H70" i="19"/>
  <c r="H74" i="19"/>
  <c r="H78" i="19"/>
  <c r="H82" i="19"/>
  <c r="H25" i="19"/>
  <c r="H29" i="19"/>
  <c r="H33" i="19"/>
  <c r="H37" i="19"/>
  <c r="H41" i="19"/>
  <c r="H45" i="19"/>
  <c r="H49" i="19"/>
  <c r="H53" i="19"/>
  <c r="H57" i="19"/>
  <c r="H61" i="19"/>
  <c r="H65" i="19"/>
  <c r="H69" i="19"/>
  <c r="H73" i="19"/>
  <c r="H77" i="19"/>
  <c r="H81" i="19"/>
  <c r="H24" i="19"/>
  <c r="H28" i="19"/>
  <c r="H32" i="19"/>
  <c r="H36" i="19"/>
  <c r="H40" i="19"/>
  <c r="H44" i="19"/>
  <c r="H48" i="19"/>
  <c r="H52" i="19"/>
  <c r="H56" i="19"/>
  <c r="H60" i="19"/>
  <c r="H64" i="19"/>
  <c r="H68" i="19"/>
  <c r="H72" i="19"/>
  <c r="H76" i="19"/>
  <c r="H80" i="19"/>
  <c r="H23" i="19"/>
  <c r="H27" i="19"/>
  <c r="H31" i="19"/>
  <c r="H35" i="19"/>
  <c r="H39" i="19"/>
  <c r="H43" i="19"/>
  <c r="H47" i="19"/>
  <c r="H51" i="19"/>
  <c r="H55" i="19"/>
  <c r="H59" i="19"/>
  <c r="H63" i="19"/>
  <c r="H67" i="19"/>
  <c r="H71" i="19"/>
  <c r="H75" i="19"/>
  <c r="H79" i="19"/>
  <c r="E83" i="19"/>
  <c r="F24" i="19"/>
  <c r="F26" i="19"/>
  <c r="F28" i="19"/>
  <c r="F30" i="19"/>
  <c r="F32" i="19"/>
  <c r="F34" i="19"/>
  <c r="F36" i="19"/>
  <c r="F38" i="19"/>
  <c r="F40" i="19"/>
  <c r="F42" i="19"/>
  <c r="F44" i="19"/>
  <c r="F46" i="19"/>
  <c r="F48" i="19"/>
  <c r="F50" i="19"/>
  <c r="F52" i="19"/>
  <c r="F54" i="19"/>
  <c r="F56" i="19"/>
  <c r="F58" i="19"/>
  <c r="F60" i="19"/>
  <c r="F62" i="19"/>
  <c r="F64" i="19"/>
  <c r="F66" i="19"/>
  <c r="F68" i="19"/>
  <c r="F70" i="19"/>
  <c r="F72" i="19"/>
  <c r="F74" i="19"/>
  <c r="F76" i="19"/>
  <c r="F78" i="19"/>
  <c r="F80" i="19"/>
  <c r="F82" i="19"/>
  <c r="B26" i="19"/>
  <c r="B28" i="19"/>
  <c r="G28" i="19" s="1"/>
  <c r="B30" i="19"/>
  <c r="G30" i="19" s="1"/>
  <c r="B32" i="19"/>
  <c r="G32" i="19" s="1"/>
  <c r="B34" i="19"/>
  <c r="G34" i="19" s="1"/>
  <c r="B36" i="19"/>
  <c r="G36" i="19" s="1"/>
  <c r="B38" i="19"/>
  <c r="G38" i="19" s="1"/>
  <c r="B40" i="19"/>
  <c r="G40" i="19" s="1"/>
  <c r="B42" i="19"/>
  <c r="G42" i="19" s="1"/>
  <c r="B44" i="19"/>
  <c r="G44" i="19" s="1"/>
  <c r="B46" i="19"/>
  <c r="G46" i="19" s="1"/>
  <c r="B48" i="19"/>
  <c r="G48" i="19" s="1"/>
  <c r="B50" i="19"/>
  <c r="G50" i="19" s="1"/>
  <c r="B52" i="19"/>
  <c r="G52" i="19" s="1"/>
  <c r="B54" i="19"/>
  <c r="G54" i="19" s="1"/>
  <c r="B56" i="19"/>
  <c r="G56" i="19" s="1"/>
  <c r="B58" i="19"/>
  <c r="G58" i="19" s="1"/>
  <c r="B60" i="19"/>
  <c r="G60" i="19" s="1"/>
  <c r="B62" i="19"/>
  <c r="G62" i="19" s="1"/>
  <c r="B64" i="19"/>
  <c r="G64" i="19" s="1"/>
  <c r="B66" i="19"/>
  <c r="G66" i="19" s="1"/>
  <c r="B68" i="19"/>
  <c r="G68" i="19" s="1"/>
  <c r="B70" i="19"/>
  <c r="G70" i="19" s="1"/>
  <c r="B72" i="19"/>
  <c r="G72" i="19" s="1"/>
  <c r="B74" i="19"/>
  <c r="G74" i="19" s="1"/>
  <c r="B76" i="19"/>
  <c r="G76" i="19" s="1"/>
  <c r="B78" i="19"/>
  <c r="G78" i="19" s="1"/>
  <c r="B80" i="19"/>
  <c r="G80" i="19" s="1"/>
  <c r="B82" i="19"/>
  <c r="G82" i="19" s="1"/>
  <c r="D83" i="19"/>
  <c r="G23" i="19"/>
  <c r="F23" i="19"/>
  <c r="F25" i="19"/>
  <c r="F27" i="19"/>
  <c r="F29" i="19"/>
  <c r="F31" i="19"/>
  <c r="F33" i="19"/>
  <c r="F35" i="19"/>
  <c r="F37" i="19"/>
  <c r="F39" i="19"/>
  <c r="F41" i="19"/>
  <c r="F43" i="19"/>
  <c r="F45" i="19"/>
  <c r="F47" i="19"/>
  <c r="F49" i="19"/>
  <c r="F51" i="19"/>
  <c r="F53" i="19"/>
  <c r="F55" i="19"/>
  <c r="F57" i="19"/>
  <c r="F59" i="19"/>
  <c r="F61" i="19"/>
  <c r="F63" i="19"/>
  <c r="F65" i="19"/>
  <c r="F67" i="19"/>
  <c r="F69" i="19"/>
  <c r="F71" i="19"/>
  <c r="F73" i="19"/>
  <c r="F75" i="19"/>
  <c r="F77" i="19"/>
  <c r="F79" i="19"/>
  <c r="F81" i="19"/>
  <c r="B24" i="19"/>
  <c r="G24" i="19" s="1"/>
  <c r="B25" i="19"/>
  <c r="B27" i="19"/>
  <c r="G27" i="19" s="1"/>
  <c r="B29" i="19"/>
  <c r="G29" i="19" s="1"/>
  <c r="B31" i="19"/>
  <c r="G31" i="19" s="1"/>
  <c r="B33" i="19"/>
  <c r="G33" i="19" s="1"/>
  <c r="B35" i="19"/>
  <c r="G35" i="19" s="1"/>
  <c r="B37" i="19"/>
  <c r="G37" i="19" s="1"/>
  <c r="B39" i="19"/>
  <c r="G39" i="19" s="1"/>
  <c r="B41" i="19"/>
  <c r="G41" i="19" s="1"/>
  <c r="B43" i="19"/>
  <c r="G43" i="19" s="1"/>
  <c r="B45" i="19"/>
  <c r="G45" i="19" s="1"/>
  <c r="B47" i="19"/>
  <c r="G47" i="19" s="1"/>
  <c r="B49" i="19"/>
  <c r="G49" i="19" s="1"/>
  <c r="B51" i="19"/>
  <c r="G51" i="19" s="1"/>
  <c r="B53" i="19"/>
  <c r="G53" i="19" s="1"/>
  <c r="B55" i="19"/>
  <c r="G55" i="19" s="1"/>
  <c r="B57" i="19"/>
  <c r="G57" i="19" s="1"/>
  <c r="B59" i="19"/>
  <c r="G59" i="19" s="1"/>
  <c r="B61" i="19"/>
  <c r="G61" i="19" s="1"/>
  <c r="B63" i="19"/>
  <c r="G63" i="19" s="1"/>
  <c r="B65" i="19"/>
  <c r="G65" i="19" s="1"/>
  <c r="B67" i="19"/>
  <c r="G67" i="19" s="1"/>
  <c r="B69" i="19"/>
  <c r="G69" i="19" s="1"/>
  <c r="B71" i="19"/>
  <c r="G71" i="19" s="1"/>
  <c r="B73" i="19"/>
  <c r="G73" i="19" s="1"/>
  <c r="B75" i="19"/>
  <c r="G75" i="19" s="1"/>
  <c r="B77" i="19"/>
  <c r="G77" i="19" s="1"/>
  <c r="B79" i="19"/>
  <c r="G79" i="19" s="1"/>
  <c r="B81" i="19"/>
  <c r="G81" i="19" s="1"/>
  <c r="C83" i="19"/>
  <c r="G25" i="19"/>
  <c r="G26" i="19"/>
  <c r="B17" i="19"/>
  <c r="B17" i="20"/>
  <c r="L26" i="20" l="1"/>
  <c r="L34" i="20"/>
  <c r="L42" i="20"/>
  <c r="L50" i="20"/>
  <c r="L58" i="20"/>
  <c r="L66" i="20"/>
  <c r="L74" i="20"/>
  <c r="L82" i="20"/>
  <c r="L29" i="20"/>
  <c r="L37" i="20"/>
  <c r="L45" i="20"/>
  <c r="L53" i="20"/>
  <c r="L61" i="20"/>
  <c r="L69" i="20"/>
  <c r="L77" i="20"/>
  <c r="L30" i="20"/>
  <c r="L38" i="20"/>
  <c r="L46" i="20"/>
  <c r="L54" i="20"/>
  <c r="L62" i="20"/>
  <c r="L70" i="20"/>
  <c r="L78" i="20"/>
  <c r="L25" i="20"/>
  <c r="L33" i="20"/>
  <c r="L41" i="20"/>
  <c r="L49" i="20"/>
  <c r="L57" i="20"/>
  <c r="L65" i="20"/>
  <c r="L73" i="20"/>
  <c r="L81" i="20"/>
  <c r="K80" i="19"/>
  <c r="B18" i="20"/>
  <c r="B18" i="19"/>
  <c r="L24" i="20"/>
  <c r="L28" i="20"/>
  <c r="L32" i="20"/>
  <c r="L36" i="20"/>
  <c r="L40" i="20"/>
  <c r="L44" i="20"/>
  <c r="L48" i="20"/>
  <c r="L52" i="20"/>
  <c r="L56" i="20"/>
  <c r="L60" i="20"/>
  <c r="L64" i="20"/>
  <c r="L68" i="20"/>
  <c r="L72" i="20"/>
  <c r="L76" i="20"/>
  <c r="L80" i="20"/>
  <c r="L23" i="20"/>
  <c r="L27" i="20"/>
  <c r="L31" i="20"/>
  <c r="L35" i="20"/>
  <c r="L39" i="20"/>
  <c r="L43" i="20"/>
  <c r="L47" i="20"/>
  <c r="L51" i="20"/>
  <c r="L55" i="20"/>
  <c r="L59" i="20"/>
  <c r="L63" i="20"/>
  <c r="L67" i="20"/>
  <c r="L71" i="20"/>
  <c r="L75" i="20"/>
  <c r="L79" i="20"/>
</calcChain>
</file>

<file path=xl/sharedStrings.xml><?xml version="1.0" encoding="utf-8"?>
<sst xmlns="http://schemas.openxmlformats.org/spreadsheetml/2006/main" count="113" uniqueCount="81">
  <si>
    <t>Файл скачан с сайта excel2.ru</t>
  </si>
  <si>
    <t>http://www.excel2.ru</t>
  </si>
  <si>
    <t>Названия строк</t>
  </si>
  <si>
    <t>Названия столбцов</t>
  </si>
  <si>
    <t>Значения</t>
  </si>
  <si>
    <t>Фильтр отчета</t>
  </si>
  <si>
    <t>type</t>
  </si>
  <si>
    <t>тип</t>
  </si>
  <si>
    <t>Future value</t>
  </si>
  <si>
    <t>fv</t>
  </si>
  <si>
    <t>бс</t>
  </si>
  <si>
    <t>Present value (Loan amount)</t>
  </si>
  <si>
    <t>pv</t>
  </si>
  <si>
    <t>пс</t>
  </si>
  <si>
    <t>Months</t>
  </si>
  <si>
    <t>nper</t>
  </si>
  <si>
    <t>кпер</t>
  </si>
  <si>
    <t>Число периодов</t>
  </si>
  <si>
    <t>Interest rate</t>
  </si>
  <si>
    <t>rate</t>
  </si>
  <si>
    <t>ставка</t>
  </si>
  <si>
    <t>Тип выплаты</t>
  </si>
  <si>
    <t>Параметр</t>
  </si>
  <si>
    <t>Значение</t>
  </si>
  <si>
    <t>Перевод</t>
  </si>
  <si>
    <t>Ежемесячный платеж (аннуитет)</t>
  </si>
  <si>
    <t>Остаток в конце</t>
  </si>
  <si>
    <t>Период (№месяца)</t>
  </si>
  <si>
    <t>Баланс на начало периода</t>
  </si>
  <si>
    <t>Тело кредита</t>
  </si>
  <si>
    <t>Итог</t>
  </si>
  <si>
    <t>Таблица ежемесячных платежей (с использованием Финансовых функций EXCEL)</t>
  </si>
  <si>
    <t>0- в конце, 1 - в начале периода</t>
  </si>
  <si>
    <t>Число платежей в год</t>
  </si>
  <si>
    <t>Срок кредита, лет</t>
  </si>
  <si>
    <t>Размер ссуды</t>
  </si>
  <si>
    <t>Всего погашено тело кредита</t>
  </si>
  <si>
    <t>Аргумент</t>
  </si>
  <si>
    <t>ПЛТ</t>
  </si>
  <si>
    <t>pmt</t>
  </si>
  <si>
    <t>К статье Определяем процентную ставку по аннуитету в MS EXCEL</t>
  </si>
  <si>
    <t>НАКОПЛЕНИЕ СУММЫ</t>
  </si>
  <si>
    <t>Ежемесячный взнос (аннуитет)</t>
  </si>
  <si>
    <t>Срок взносов, лет</t>
  </si>
  <si>
    <t>Число взносов в год</t>
  </si>
  <si>
    <t>Целевое значение вклада в конце срока (с учетом начального вклада)</t>
  </si>
  <si>
    <t>Всего пополнено за счет взносов</t>
  </si>
  <si>
    <t>Всего пополнено за счет %</t>
  </si>
  <si>
    <t>Всего прирост вклада</t>
  </si>
  <si>
    <t>Регулярный взнос</t>
  </si>
  <si>
    <t>Пополнение вклада за период (Взнос + %)</t>
  </si>
  <si>
    <t>Начисленный % за период</t>
  </si>
  <si>
    <t>Таблица пополнения вклада</t>
  </si>
  <si>
    <t>Сумма вклада в конце периода</t>
  </si>
  <si>
    <t>Сумма вклада в конце периода, сформированная за счет взносов</t>
  </si>
  <si>
    <t>Начальный вклад (вводите отрицательные значения)</t>
  </si>
  <si>
    <t>Present value</t>
  </si>
  <si>
    <t>Таблица для графиков</t>
  </si>
  <si>
    <t>Сумма вклада в конце периода, сформированная за счет %</t>
  </si>
  <si>
    <t>Сумма вклада в конце периода, сформированная за счет начального взноса</t>
  </si>
  <si>
    <t>Всего внесено платежей</t>
  </si>
  <si>
    <t>Всего заплачено %</t>
  </si>
  <si>
    <t>Всего погашено задолженности</t>
  </si>
  <si>
    <t>Т.к. суммарное количество взносов &gt;(Целевого значения+Начальный вклад), то ставка &lt;0</t>
  </si>
  <si>
    <t>Ставка за период</t>
  </si>
  <si>
    <t>Ставка за год</t>
  </si>
  <si>
    <t>Тело кредита на начало периода</t>
  </si>
  <si>
    <t>Тело кредита на конец периода</t>
  </si>
  <si>
    <t>Регулярный платеж</t>
  </si>
  <si>
    <t>Процент к уплате</t>
  </si>
  <si>
    <t>Тело кредита на начало периода2</t>
  </si>
  <si>
    <t>Тело кредита на начало периода3</t>
  </si>
  <si>
    <t>Тело кредита на конец периода3</t>
  </si>
  <si>
    <t>Тело кредита на конец периода2</t>
  </si>
  <si>
    <t>Альтернативные формулы расчета остатка тела кредита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</si>
  <si>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</si>
  <si>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</si>
  <si>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</si>
  <si>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</si>
  <si>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</si>
  <si>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Аннуитет. Определяем процентную ставку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</si>
</sst>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&quot;р.&quot;;[Red]\-#,##0.00&quot;р.&quot;"/>
    <numFmt numFmtId="164" formatCode="_(&quot;$&quot;* #,##0.00_);_(&quot;$&quot;* \(#,##0.00\);_(&quot;$&quot;* &quot;-&quot;??_);_(@_)"/>
    <numFmt numFmtId="165" formatCode="0.000%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u/>
      <sz val="11"/>
      <color theme="10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16" fillId="0" borderId="0"/>
    <xf numFmtId="0" fontId="17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0" borderId="0" xfId="0" applyFont="1"/>
    <xf numFmtId="0" fontId="2" fillId="0" borderId="0" xfId="1"/>
    <xf numFmtId="0" fontId="6" fillId="0" borderId="0" xfId="0" applyFont="1" applyAlignment="1"/>
    <xf numFmtId="0" fontId="7" fillId="0" borderId="0" xfId="2" applyFont="1" applyAlignment="1" applyProtection="1"/>
    <xf numFmtId="0" fontId="0" fillId="0" borderId="0" xfId="0" applyNumberFormat="1"/>
    <xf numFmtId="8" fontId="0" fillId="0" borderId="0" xfId="0" applyNumberFormat="1"/>
    <xf numFmtId="0" fontId="0" fillId="0" borderId="12" xfId="0" applyBorder="1"/>
    <xf numFmtId="165" fontId="0" fillId="0" borderId="0" xfId="5" applyNumberFormat="1" applyFont="1"/>
    <xf numFmtId="0" fontId="9" fillId="0" borderId="12" xfId="0" applyFont="1" applyBorder="1"/>
    <xf numFmtId="0" fontId="1" fillId="0" borderId="12" xfId="0" applyFont="1" applyBorder="1"/>
    <xf numFmtId="8" fontId="0" fillId="0" borderId="12" xfId="0" applyNumberFormat="1" applyBorder="1"/>
    <xf numFmtId="8" fontId="0" fillId="0" borderId="0" xfId="0" applyNumberFormat="1" applyBorder="1"/>
    <xf numFmtId="4" fontId="9" fillId="0" borderId="12" xfId="0" applyNumberFormat="1" applyFont="1" applyBorder="1"/>
    <xf numFmtId="0" fontId="0" fillId="0" borderId="0" xfId="0" applyAlignment="1">
      <alignment horizontal="left" vertical="top" wrapText="1"/>
    </xf>
    <xf numFmtId="0" fontId="10" fillId="0" borderId="12" xfId="0" applyFont="1" applyBorder="1"/>
    <xf numFmtId="10" fontId="10" fillId="0" borderId="12" xfId="5" applyNumberFormat="1" applyFont="1" applyBorder="1"/>
    <xf numFmtId="1" fontId="9" fillId="0" borderId="12" xfId="5" applyNumberFormat="1" applyFont="1" applyBorder="1"/>
    <xf numFmtId="3" fontId="9" fillId="0" borderId="12" xfId="0" applyNumberFormat="1" applyFont="1" applyBorder="1"/>
    <xf numFmtId="8" fontId="0" fillId="0" borderId="0" xfId="0" applyNumberFormat="1" applyAlignment="1">
      <alignment wrapText="1"/>
    </xf>
    <xf numFmtId="2" fontId="0" fillId="0" borderId="0" xfId="0" applyNumberFormat="1"/>
    <xf numFmtId="4" fontId="0" fillId="0" borderId="0" xfId="0" applyNumberFormat="1"/>
    <xf numFmtId="8" fontId="11" fillId="0" borderId="0" xfId="0" applyNumberFormat="1" applyFont="1"/>
    <xf numFmtId="4" fontId="12" fillId="0" borderId="0" xfId="0" applyNumberFormat="1" applyFont="1"/>
    <xf numFmtId="0" fontId="0" fillId="0" borderId="12" xfId="0" applyFill="1" applyBorder="1"/>
    <xf numFmtId="0" fontId="0" fillId="0" borderId="12" xfId="0" applyFont="1" applyBorder="1"/>
    <xf numFmtId="0" fontId="13" fillId="0" borderId="0" xfId="0" applyFont="1"/>
    <xf numFmtId="0" fontId="0" fillId="0" borderId="12" xfId="0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vertical="top" wrapText="1"/>
    </xf>
    <xf numFmtId="0" fontId="11" fillId="0" borderId="0" xfId="0" applyFont="1"/>
    <xf numFmtId="0" fontId="0" fillId="2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15" fillId="5" borderId="0" xfId="1" applyFont="1" applyFill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4" fillId="4" borderId="0" xfId="4" applyFont="1" applyFill="1" applyAlignment="1" applyProtection="1">
      <alignment horizontal="center" vertical="center"/>
    </xf>
    <xf numFmtId="0" fontId="14" fillId="4" borderId="0" xfId="8" applyFont="1" applyFill="1" applyAlignment="1" applyProtection="1">
      <alignment vertical="center"/>
    </xf>
    <xf numFmtId="0" fontId="18" fillId="6" borderId="0" xfId="0" applyFont="1" applyFill="1" applyAlignment="1"/>
    <xf numFmtId="0" fontId="19" fillId="6" borderId="0" xfId="0" applyFont="1" applyFill="1" applyAlignment="1">
      <alignment vertical="center"/>
    </xf>
    <xf numFmtId="0" fontId="5" fillId="6" borderId="0" xfId="4" applyFill="1" applyAlignment="1" applyProtection="1"/>
  </cellXfs>
  <cellStyles count="9">
    <cellStyle name="Currency_TapePivot" xfId="3"/>
    <cellStyle name="Normal_ALLOC1" xfId="6"/>
    <cellStyle name="Гиперссылка" xfId="4" builtinId="8"/>
    <cellStyle name="Гиперссылка 2" xfId="2"/>
    <cellStyle name="Гиперссылка 3" xfId="8"/>
    <cellStyle name="Обычный" xfId="0" builtinId="0"/>
    <cellStyle name="Обычный 2" xfId="1"/>
    <cellStyle name="Обычный 3" xfId="7"/>
    <cellStyle name="Процентный" xfId="5" builtinId="5"/>
  </cellStyles>
  <dxfs count="35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2" formatCode="#,##0.00&quot;р.&quot;;[Red]\-#,##0.00&quot;р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2" formatCode="#,##0.00&quot;р.&quot;;[Red]\-#,##0.00&quot;р.&quot;"/>
    </dxf>
    <dxf>
      <numFmt numFmtId="12" formatCode="#,##0.00&quot;р.&quot;;[Red]\-#,##0.00&quot;р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2" formatCode="#,##0.00&quot;р.&quot;;[Red]\-#,##0.00&quot;р.&quot;"/>
    </dxf>
    <dxf>
      <numFmt numFmtId="12" formatCode="#,##0.00&quot;р.&quot;;[Red]\-#,##0.00&quot;р.&quot;"/>
    </dxf>
    <dxf>
      <numFmt numFmtId="0" formatCode="General"/>
    </dxf>
    <dxf>
      <alignment horizontal="left" vertical="top" textRotation="0" indent="0" justifyLastLine="0" shrinkToFit="0" readingOrder="0"/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  <alignment horizontal="general" vertical="bottom" textRotation="0" wrapText="1" relativeIndent="0" justifyLastLine="0" shrinkToFit="0" readingOrder="0"/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2" formatCode="#,##0.00&quot;р.&quot;;[Red]\-#,##0.00&quot;р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2" formatCode="#,##0.00&quot;р.&quot;;[Red]\-#,##0.00&quot;р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2" formatCode="#,##0.00&quot;р.&quot;;[Red]\-#,##0.00&quot;р.&quot;"/>
    </dxf>
    <dxf>
      <numFmt numFmtId="12" formatCode="#,##0.00&quot;р.&quot;;[Red]\-#,##0.00&quot;р.&quot;"/>
    </dxf>
    <dxf>
      <numFmt numFmtId="0" formatCode="General"/>
    </dxf>
    <dxf>
      <alignment horizontal="left" vertical="top" textRotation="0" indent="0" justifyLastLine="0" shrinkToFit="0" readingOrder="0"/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Соотношение доли платежа, идущего на погашение Тела кредита и доли на выплату Процентов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2522535630788166E-2"/>
          <c:y val="0.32345218502115258"/>
          <c:w val="0.90503058964774108"/>
          <c:h val="0.584772526773509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Выплата!$D$22</c:f>
              <c:strCache>
                <c:ptCount val="1"/>
                <c:pt idx="0">
                  <c:v>Тело кредита</c:v>
                </c:pt>
              </c:strCache>
            </c:strRef>
          </c:tx>
          <c:invertIfNegative val="0"/>
          <c:val>
            <c:numRef>
              <c:f>Выплата!$D$23:$D$82</c:f>
              <c:numCache>
                <c:formatCode>"р."#,##0.00_);[Red]\("р."#,##0.00\)</c:formatCode>
                <c:ptCount val="60"/>
                <c:pt idx="0">
                  <c:v>-824.95771262768653</c:v>
                </c:pt>
                <c:pt idx="1">
                  <c:v>-842.90089173027786</c:v>
                </c:pt>
                <c:pt idx="2">
                  <c:v>-861.23434256604992</c:v>
                </c:pt>
                <c:pt idx="3">
                  <c:v>-879.96655371023439</c:v>
                </c:pt>
                <c:pt idx="4">
                  <c:v>-899.10619836816466</c:v>
                </c:pt>
                <c:pt idx="5">
                  <c:v>-918.66213839105808</c:v>
                </c:pt>
                <c:pt idx="6">
                  <c:v>-938.64342837914228</c:v>
                </c:pt>
                <c:pt idx="7">
                  <c:v>-959.05931987402982</c:v>
                </c:pt>
                <c:pt idx="8">
                  <c:v>-979.91926564227526</c:v>
                </c:pt>
                <c:pt idx="9">
                  <c:v>-1001.2329240521029</c:v>
                </c:pt>
                <c:pt idx="10">
                  <c:v>-1023.0101635453306</c:v>
                </c:pt>
                <c:pt idx="11">
                  <c:v>-1045.2610672065578</c:v>
                </c:pt>
                <c:pt idx="12">
                  <c:v>-1067.99593743174</c:v>
                </c:pt>
                <c:pt idx="13">
                  <c:v>-1091.2253006982985</c:v>
                </c:pt>
                <c:pt idx="14">
                  <c:v>-1114.9599124389922</c:v>
                </c:pt>
                <c:pt idx="15">
                  <c:v>-1139.2107620217896</c:v>
                </c:pt>
                <c:pt idx="16">
                  <c:v>-1163.9890778380598</c:v>
                </c:pt>
                <c:pt idx="17">
                  <c:v>-1189.3063325014327</c:v>
                </c:pt>
                <c:pt idx="18">
                  <c:v>-1215.1742481597357</c:v>
                </c:pt>
                <c:pt idx="19">
                  <c:v>-1241.6048019224684</c:v>
                </c:pt>
                <c:pt idx="20">
                  <c:v>-1268.6102314063273</c:v>
                </c:pt>
                <c:pt idx="21">
                  <c:v>-1296.2030404013465</c:v>
                </c:pt>
                <c:pt idx="22">
                  <c:v>-1324.3960046602815</c:v>
                </c:pt>
                <c:pt idx="23">
                  <c:v>-1353.2021778139122</c:v>
                </c:pt>
                <c:pt idx="24">
                  <c:v>-1382.6348974150078</c:v>
                </c:pt>
                <c:pt idx="25">
                  <c:v>-1412.7077911137508</c:v>
                </c:pt>
                <c:pt idx="26">
                  <c:v>-1443.4347829674782</c:v>
                </c:pt>
                <c:pt idx="27">
                  <c:v>-1474.8300998876618</c:v>
                </c:pt>
                <c:pt idx="28">
                  <c:v>-1506.9082782271139</c:v>
                </c:pt>
                <c:pt idx="29">
                  <c:v>-1539.6841705104678</c:v>
                </c:pt>
                <c:pt idx="30">
                  <c:v>-1573.1729523110478</c:v>
                </c:pt>
                <c:pt idx="31">
                  <c:v>-1607.3901292773166</c:v>
                </c:pt>
                <c:pt idx="32">
                  <c:v>-1642.3515443121466</c:v>
                </c:pt>
                <c:pt idx="33">
                  <c:v>-1678.073384908248</c:v>
                </c:pt>
                <c:pt idx="34">
                  <c:v>-1714.5721906431427</c:v>
                </c:pt>
                <c:pt idx="35">
                  <c:v>-1751.8648608371564</c:v>
                </c:pt>
                <c:pt idx="36">
                  <c:v>-1789.9686623779808</c:v>
                </c:pt>
                <c:pt idx="37">
                  <c:v>-1828.901237715414</c:v>
                </c:pt>
                <c:pt idx="38">
                  <c:v>-1868.6806130300004</c:v>
                </c:pt>
                <c:pt idx="39">
                  <c:v>-1909.3252065793308</c:v>
                </c:pt>
                <c:pt idx="40">
                  <c:v>-1950.8538372258902</c:v>
                </c:pt>
                <c:pt idx="41">
                  <c:v>-1993.2857331503783</c:v>
                </c:pt>
                <c:pt idx="42">
                  <c:v>-2036.640540754559</c:v>
                </c:pt>
                <c:pt idx="43">
                  <c:v>-2080.9383337577383</c:v>
                </c:pt>
                <c:pt idx="44">
                  <c:v>-2126.1996224911099</c:v>
                </c:pt>
                <c:pt idx="45">
                  <c:v>-2172.4453633942417</c:v>
                </c:pt>
                <c:pt idx="46">
                  <c:v>-2219.6969687181258</c:v>
                </c:pt>
                <c:pt idx="47">
                  <c:v>-2267.9763164392666</c:v>
                </c:pt>
                <c:pt idx="48">
                  <c:v>-2317.3057603894094</c:v>
                </c:pt>
                <c:pt idx="49">
                  <c:v>-2367.7081406055936</c:v>
                </c:pt>
                <c:pt idx="50">
                  <c:v>-2419.2067939053218</c:v>
                </c:pt>
                <c:pt idx="51">
                  <c:v>-2471.8255646917464</c:v>
                </c:pt>
                <c:pt idx="52">
                  <c:v>-2525.5888159938718</c:v>
                </c:pt>
                <c:pt idx="53">
                  <c:v>-2580.5214407468843</c:v>
                </c:pt>
                <c:pt idx="54">
                  <c:v>-2636.648873317838</c:v>
                </c:pt>
                <c:pt idx="55">
                  <c:v>-2693.9971012820265</c:v>
                </c:pt>
                <c:pt idx="56">
                  <c:v>-2752.592677455495</c:v>
                </c:pt>
                <c:pt idx="57">
                  <c:v>-2812.4627321892658</c:v>
                </c:pt>
                <c:pt idx="58">
                  <c:v>-2873.6349859309689</c:v>
                </c:pt>
                <c:pt idx="59">
                  <c:v>-2936.1377620596932</c:v>
                </c:pt>
              </c:numCache>
            </c:numRef>
          </c:val>
        </c:ser>
        <c:ser>
          <c:idx val="1"/>
          <c:order val="1"/>
          <c:tx>
            <c:strRef>
              <c:f>Выплата!$E$22</c:f>
              <c:strCache>
                <c:ptCount val="1"/>
                <c:pt idx="0">
                  <c:v>Процент к уплате</c:v>
                </c:pt>
              </c:strCache>
            </c:strRef>
          </c:tx>
          <c:invertIfNegative val="0"/>
          <c:val>
            <c:numRef>
              <c:f>Выплата!$E$23:$E$82</c:f>
              <c:numCache>
                <c:formatCode>"р."#,##0.00_);[Red]\("р."#,##0.00\)</c:formatCode>
                <c:ptCount val="60"/>
                <c:pt idx="0">
                  <c:v>-2175.0422873723119</c:v>
                </c:pt>
                <c:pt idx="1">
                  <c:v>-2157.0991082697205</c:v>
                </c:pt>
                <c:pt idx="2">
                  <c:v>-2138.7656574339485</c:v>
                </c:pt>
                <c:pt idx="3">
                  <c:v>-2120.033446289764</c:v>
                </c:pt>
                <c:pt idx="4">
                  <c:v>-2100.8938016318339</c:v>
                </c:pt>
                <c:pt idx="5">
                  <c:v>-2081.3378616089399</c:v>
                </c:pt>
                <c:pt idx="6">
                  <c:v>-2061.3565716208564</c:v>
                </c:pt>
                <c:pt idx="7">
                  <c:v>-2040.9406801259684</c:v>
                </c:pt>
                <c:pt idx="8">
                  <c:v>-2020.080734357723</c:v>
                </c:pt>
                <c:pt idx="9">
                  <c:v>-1998.7670759478954</c:v>
                </c:pt>
                <c:pt idx="10">
                  <c:v>-1976.9898364546677</c:v>
                </c:pt>
                <c:pt idx="11">
                  <c:v>-1954.7389327934404</c:v>
                </c:pt>
                <c:pt idx="12">
                  <c:v>-1932.0040625682586</c:v>
                </c:pt>
                <c:pt idx="13">
                  <c:v>-1908.7746993016999</c:v>
                </c:pt>
                <c:pt idx="14">
                  <c:v>-1885.0400875610064</c:v>
                </c:pt>
                <c:pt idx="15">
                  <c:v>-1860.789237978209</c:v>
                </c:pt>
                <c:pt idx="16">
                  <c:v>-1836.0109221619384</c:v>
                </c:pt>
                <c:pt idx="17">
                  <c:v>-1810.6936674985654</c:v>
                </c:pt>
                <c:pt idx="18">
                  <c:v>-1784.8257518402627</c:v>
                </c:pt>
                <c:pt idx="19">
                  <c:v>-1758.39519807753</c:v>
                </c:pt>
                <c:pt idx="20">
                  <c:v>-1731.3897685936711</c:v>
                </c:pt>
                <c:pt idx="21">
                  <c:v>-1703.7969595986519</c:v>
                </c:pt>
                <c:pt idx="22">
                  <c:v>-1675.6039953397167</c:v>
                </c:pt>
                <c:pt idx="23">
                  <c:v>-1646.7978221860865</c:v>
                </c:pt>
                <c:pt idx="24">
                  <c:v>-1617.3651025849904</c:v>
                </c:pt>
                <c:pt idx="25">
                  <c:v>-1587.2922088862472</c:v>
                </c:pt>
                <c:pt idx="26">
                  <c:v>-1556.56521703252</c:v>
                </c:pt>
                <c:pt idx="27">
                  <c:v>-1525.1699001123368</c:v>
                </c:pt>
                <c:pt idx="28">
                  <c:v>-1493.0917217728847</c:v>
                </c:pt>
                <c:pt idx="29">
                  <c:v>-1460.3158294895311</c:v>
                </c:pt>
                <c:pt idx="30">
                  <c:v>-1426.8270476889506</c:v>
                </c:pt>
                <c:pt idx="31">
                  <c:v>-1392.609870722682</c:v>
                </c:pt>
                <c:pt idx="32">
                  <c:v>-1357.6484556878518</c:v>
                </c:pt>
                <c:pt idx="33">
                  <c:v>-1321.9266150917506</c:v>
                </c:pt>
                <c:pt idx="34">
                  <c:v>-1285.427809356856</c:v>
                </c:pt>
                <c:pt idx="35">
                  <c:v>-1248.1351391628418</c:v>
                </c:pt>
                <c:pt idx="36">
                  <c:v>-1210.0313376220174</c:v>
                </c:pt>
                <c:pt idx="37">
                  <c:v>-1171.0987622845839</c:v>
                </c:pt>
                <c:pt idx="38">
                  <c:v>-1131.319386969998</c:v>
                </c:pt>
                <c:pt idx="39">
                  <c:v>-1090.6747934206674</c:v>
                </c:pt>
                <c:pt idx="40">
                  <c:v>-1049.146162774108</c:v>
                </c:pt>
                <c:pt idx="41">
                  <c:v>-1006.7142668496197</c:v>
                </c:pt>
                <c:pt idx="42">
                  <c:v>-963.35945924543978</c:v>
                </c:pt>
                <c:pt idx="43">
                  <c:v>-919.06166624225989</c:v>
                </c:pt>
                <c:pt idx="44">
                  <c:v>-873.80037750888835</c:v>
                </c:pt>
                <c:pt idx="45">
                  <c:v>-827.55463660575617</c:v>
                </c:pt>
                <c:pt idx="46">
                  <c:v>-780.30303128187234</c:v>
                </c:pt>
                <c:pt idx="47">
                  <c:v>-732.02368356073191</c:v>
                </c:pt>
                <c:pt idx="48">
                  <c:v>-682.69423961058885</c:v>
                </c:pt>
                <c:pt idx="49">
                  <c:v>-632.2918593944047</c:v>
                </c:pt>
                <c:pt idx="50">
                  <c:v>-580.79320609467641</c:v>
                </c:pt>
                <c:pt idx="51">
                  <c:v>-528.17443530825176</c:v>
                </c:pt>
                <c:pt idx="52">
                  <c:v>-474.41118400612675</c:v>
                </c:pt>
                <c:pt idx="53">
                  <c:v>-419.47855925311438</c:v>
                </c:pt>
                <c:pt idx="54">
                  <c:v>-363.35112668216033</c:v>
                </c:pt>
                <c:pt idx="55">
                  <c:v>-306.00289871797168</c:v>
                </c:pt>
                <c:pt idx="56">
                  <c:v>-247.40732254450333</c:v>
                </c:pt>
                <c:pt idx="57">
                  <c:v>-187.53726781073252</c:v>
                </c:pt>
                <c:pt idx="58">
                  <c:v>-126.36501406902933</c:v>
                </c:pt>
                <c:pt idx="59">
                  <c:v>-63.862237940305363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8209280"/>
        <c:axId val="128211200"/>
      </c:barChart>
      <c:catAx>
        <c:axId val="128209280"/>
        <c:scaling>
          <c:orientation val="minMax"/>
        </c:scaling>
        <c:delete val="0"/>
        <c:axPos val="b"/>
        <c:majorTickMark val="out"/>
        <c:minorTickMark val="none"/>
        <c:tickLblPos val="high"/>
        <c:crossAx val="128211200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128211200"/>
        <c:scaling>
          <c:orientation val="minMax"/>
        </c:scaling>
        <c:delete val="0"/>
        <c:axPos val="l"/>
        <c:majorGridlines/>
        <c:numFmt formatCode="&quot;р.&quot;#,##0.00_);[Red]\(&quot;р.&quot;#,##0.00\)" sourceLinked="1"/>
        <c:majorTickMark val="out"/>
        <c:minorTickMark val="none"/>
        <c:tickLblPos val="nextTo"/>
        <c:crossAx val="1282092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1" i="0" baseline="0">
                <a:effectLst/>
              </a:rPr>
              <a:t>График пополнения вклада (аннуитет)</a:t>
            </a:r>
            <a:endParaRPr lang="ru-RU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240245470575511"/>
          <c:y val="0.16488188976377954"/>
          <c:w val="0.8862335421863875"/>
          <c:h val="0.583822733696749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Накопление!$I$22</c:f>
              <c:strCache>
                <c:ptCount val="1"/>
                <c:pt idx="0">
                  <c:v>Регулярный взнос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Накопление!$I$23:$I$82</c:f>
              <c:numCache>
                <c:formatCode>#,##0.00</c:formatCode>
                <c:ptCount val="60"/>
                <c:pt idx="0">
                  <c:v>10000.00000000002</c:v>
                </c:pt>
                <c:pt idx="1">
                  <c:v>10000.00000000002</c:v>
                </c:pt>
                <c:pt idx="2">
                  <c:v>10000.00000000002</c:v>
                </c:pt>
                <c:pt idx="3">
                  <c:v>10000.00000000002</c:v>
                </c:pt>
                <c:pt idx="4">
                  <c:v>10000.00000000002</c:v>
                </c:pt>
                <c:pt idx="5">
                  <c:v>10000.00000000002</c:v>
                </c:pt>
                <c:pt idx="6">
                  <c:v>10000.00000000002</c:v>
                </c:pt>
                <c:pt idx="7">
                  <c:v>10000.00000000002</c:v>
                </c:pt>
                <c:pt idx="8">
                  <c:v>10000.00000000002</c:v>
                </c:pt>
                <c:pt idx="9">
                  <c:v>10000.00000000002</c:v>
                </c:pt>
                <c:pt idx="10">
                  <c:v>10000.00000000002</c:v>
                </c:pt>
                <c:pt idx="11">
                  <c:v>10000.00000000002</c:v>
                </c:pt>
                <c:pt idx="12">
                  <c:v>10000.00000000002</c:v>
                </c:pt>
                <c:pt idx="13">
                  <c:v>10000.00000000002</c:v>
                </c:pt>
                <c:pt idx="14">
                  <c:v>10000.00000000002</c:v>
                </c:pt>
                <c:pt idx="15">
                  <c:v>10000.00000000002</c:v>
                </c:pt>
                <c:pt idx="16">
                  <c:v>10000.00000000002</c:v>
                </c:pt>
                <c:pt idx="17">
                  <c:v>10000.00000000002</c:v>
                </c:pt>
                <c:pt idx="18">
                  <c:v>10000.00000000002</c:v>
                </c:pt>
                <c:pt idx="19">
                  <c:v>10000.00000000002</c:v>
                </c:pt>
                <c:pt idx="20">
                  <c:v>10000.00000000002</c:v>
                </c:pt>
                <c:pt idx="21">
                  <c:v>10000.00000000002</c:v>
                </c:pt>
                <c:pt idx="22">
                  <c:v>10000.00000000002</c:v>
                </c:pt>
                <c:pt idx="23">
                  <c:v>10000.00000000002</c:v>
                </c:pt>
                <c:pt idx="24">
                  <c:v>10000.00000000002</c:v>
                </c:pt>
                <c:pt idx="25">
                  <c:v>10000.00000000002</c:v>
                </c:pt>
                <c:pt idx="26">
                  <c:v>10000.00000000002</c:v>
                </c:pt>
                <c:pt idx="27">
                  <c:v>10000.00000000002</c:v>
                </c:pt>
                <c:pt idx="28">
                  <c:v>10000.00000000002</c:v>
                </c:pt>
                <c:pt idx="29">
                  <c:v>10000.00000000002</c:v>
                </c:pt>
                <c:pt idx="30">
                  <c:v>10000.00000000002</c:v>
                </c:pt>
                <c:pt idx="31">
                  <c:v>10000.00000000002</c:v>
                </c:pt>
                <c:pt idx="32">
                  <c:v>10000.00000000002</c:v>
                </c:pt>
                <c:pt idx="33">
                  <c:v>10000.00000000002</c:v>
                </c:pt>
                <c:pt idx="34">
                  <c:v>10000.00000000002</c:v>
                </c:pt>
                <c:pt idx="35">
                  <c:v>10000.00000000002</c:v>
                </c:pt>
                <c:pt idx="36">
                  <c:v>10000.00000000002</c:v>
                </c:pt>
                <c:pt idx="37">
                  <c:v>10000.00000000002</c:v>
                </c:pt>
                <c:pt idx="38">
                  <c:v>10000.00000000002</c:v>
                </c:pt>
                <c:pt idx="39">
                  <c:v>10000.00000000002</c:v>
                </c:pt>
                <c:pt idx="40">
                  <c:v>10000.00000000002</c:v>
                </c:pt>
                <c:pt idx="41">
                  <c:v>10000.00000000002</c:v>
                </c:pt>
                <c:pt idx="42">
                  <c:v>10000.00000000002</c:v>
                </c:pt>
                <c:pt idx="43">
                  <c:v>10000.00000000002</c:v>
                </c:pt>
                <c:pt idx="44">
                  <c:v>10000.00000000002</c:v>
                </c:pt>
                <c:pt idx="45">
                  <c:v>10000.00000000002</c:v>
                </c:pt>
                <c:pt idx="46">
                  <c:v>10000.00000000002</c:v>
                </c:pt>
                <c:pt idx="47">
                  <c:v>10000.00000000002</c:v>
                </c:pt>
                <c:pt idx="48">
                  <c:v>10000.00000000002</c:v>
                </c:pt>
                <c:pt idx="49">
                  <c:v>10000.00000000002</c:v>
                </c:pt>
                <c:pt idx="50">
                  <c:v>10000.00000000002</c:v>
                </c:pt>
                <c:pt idx="51">
                  <c:v>10000.00000000002</c:v>
                </c:pt>
                <c:pt idx="52">
                  <c:v>10000.00000000002</c:v>
                </c:pt>
                <c:pt idx="53">
                  <c:v>10000.00000000002</c:v>
                </c:pt>
                <c:pt idx="54">
                  <c:v>10000.00000000002</c:v>
                </c:pt>
                <c:pt idx="55">
                  <c:v>10000.00000000002</c:v>
                </c:pt>
                <c:pt idx="56">
                  <c:v>10000.00000000002</c:v>
                </c:pt>
                <c:pt idx="57">
                  <c:v>10000.00000000002</c:v>
                </c:pt>
                <c:pt idx="58">
                  <c:v>10000.00000000002</c:v>
                </c:pt>
                <c:pt idx="59">
                  <c:v>10000.00000000002</c:v>
                </c:pt>
              </c:numCache>
            </c:numRef>
          </c:val>
        </c:ser>
        <c:ser>
          <c:idx val="1"/>
          <c:order val="1"/>
          <c:tx>
            <c:strRef>
              <c:f>Накопление!$J$22</c:f>
              <c:strCache>
                <c:ptCount val="1"/>
                <c:pt idx="0">
                  <c:v>Начисленный % за период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Накопление!$J$23:$J$82</c:f>
              <c:numCache>
                <c:formatCode>#,##0.00</c:formatCode>
                <c:ptCount val="60"/>
                <c:pt idx="0">
                  <c:v>0</c:v>
                </c:pt>
                <c:pt idx="1">
                  <c:v>161.50265997982657</c:v>
                </c:pt>
                <c:pt idx="2">
                  <c:v>325.61363087771338</c:v>
                </c:pt>
                <c:pt idx="3">
                  <c:v>492.37503760878178</c:v>
                </c:pt>
                <c:pt idx="4">
                  <c:v>661.82968541675689</c:v>
                </c:pt>
                <c:pt idx="5">
                  <c:v>834.02107086142371</c:v>
                </c:pt>
                <c:pt idx="6">
                  <c:v>1008.9933929835856</c:v>
                </c:pt>
                <c:pt idx="7">
                  <c:v>1186.7915646503077</c:v>
                </c:pt>
                <c:pt idx="8">
                  <c:v>1367.461224083396</c:v>
                </c:pt>
                <c:pt idx="9">
                  <c:v>1551.0487465740971</c:v>
                </c:pt>
                <c:pt idx="10">
                  <c:v>1737.6012563869328</c:v>
                </c:pt>
                <c:pt idx="11">
                  <c:v>1927.1666388558358</c:v>
                </c:pt>
                <c:pt idx="12">
                  <c:v>2119.793552675626</c:v>
                </c:pt>
                <c:pt idx="13">
                  <c:v>2315.5314423919745</c:v>
                </c:pt>
                <c:pt idx="14">
                  <c:v>2514.4305510931231</c:v>
                </c:pt>
                <c:pt idx="15">
                  <c:v>2716.5419333065588</c:v>
                </c:pt>
                <c:pt idx="16">
                  <c:v>2921.9174681039572</c:v>
                </c:pt>
                <c:pt idx="17">
                  <c:v>3130.6098724178164</c:v>
                </c:pt>
                <c:pt idx="18">
                  <c:v>3342.6727145731038</c:v>
                </c:pt>
                <c:pt idx="19">
                  <c:v>3558.1604280374831</c:v>
                </c:pt>
                <c:pt idx="20">
                  <c:v>3777.1283253936131</c:v>
                </c:pt>
                <c:pt idx="21">
                  <c:v>3999.6326125370583</c:v>
                </c:pt>
                <c:pt idx="22">
                  <c:v>4225.7304031035655</c:v>
                </c:pt>
                <c:pt idx="23">
                  <c:v>4455.4797331292766</c:v>
                </c:pt>
                <c:pt idx="24">
                  <c:v>4688.9395759477638</c:v>
                </c:pt>
                <c:pt idx="25">
                  <c:v>4926.1698573276153</c:v>
                </c:pt>
                <c:pt idx="26">
                  <c:v>5167.2314708545309</c:v>
                </c:pt>
                <c:pt idx="27">
                  <c:v>5412.1862935618028</c:v>
                </c:pt>
                <c:pt idx="28">
                  <c:v>5661.0972018132907</c:v>
                </c:pt>
                <c:pt idx="29">
                  <c:v>5914.0280874428345</c:v>
                </c:pt>
                <c:pt idx="30">
                  <c:v>6171.043874154404</c:v>
                </c:pt>
                <c:pt idx="31">
                  <c:v>6432.2105341870465</c:v>
                </c:pt>
                <c:pt idx="32">
                  <c:v>6697.5951052490191</c:v>
                </c:pt>
                <c:pt idx="33">
                  <c:v>6967.2657077254071</c:v>
                </c:pt>
                <c:pt idx="34">
                  <c:v>7241.2915621636203</c:v>
                </c:pt>
                <c:pt idx="35">
                  <c:v>7519.7430070413366</c:v>
                </c:pt>
                <c:pt idx="36">
                  <c:v>7802.6915168213518</c:v>
                </c:pt>
                <c:pt idx="37">
                  <c:v>8090.2097202980467</c:v>
                </c:pt>
                <c:pt idx="38">
                  <c:v>8382.3714192401512</c:v>
                </c:pt>
                <c:pt idx="39">
                  <c:v>8679.2516073345942</c:v>
                </c:pt>
                <c:pt idx="40">
                  <c:v>8980.9264894362932</c:v>
                </c:pt>
                <c:pt idx="41">
                  <c:v>9287.4735011288449</c:v>
                </c:pt>
                <c:pt idx="42">
                  <c:v>9598.9713286011174</c:v>
                </c:pt>
                <c:pt idx="43">
                  <c:v>9915.4999288448616</c:v>
                </c:pt>
                <c:pt idx="44">
                  <c:v>10237.140550178512</c:v>
                </c:pt>
                <c:pt idx="45">
                  <c:v>10563.975753102455</c:v>
                </c:pt>
                <c:pt idx="46">
                  <c:v>10896.089431491126</c:v>
                </c:pt>
                <c:pt idx="47">
                  <c:v>11233.566834127343</c:v>
                </c:pt>
                <c:pt idx="48">
                  <c:v>11576.494586584442</c:v>
                </c:pt>
                <c:pt idx="49">
                  <c:v>11924.960713461815</c:v>
                </c:pt>
                <c:pt idx="50">
                  <c:v>12279.054660979544</c:v>
                </c:pt>
                <c:pt idx="51">
                  <c:v>12638.867319937957</c:v>
                </c:pt>
                <c:pt idx="52">
                  <c:v>13004.491049047992</c:v>
                </c:pt>
                <c:pt idx="53">
                  <c:v>13376.019698638329</c:v>
                </c:pt>
                <c:pt idx="54">
                  <c:v>13753.548634745421</c:v>
                </c:pt>
                <c:pt idx="55">
                  <c:v>14137.174763592577</c:v>
                </c:pt>
                <c:pt idx="56">
                  <c:v>14526.996556464392</c:v>
                </c:pt>
                <c:pt idx="57">
                  <c:v>14923.114074982897</c:v>
                </c:pt>
                <c:pt idx="58">
                  <c:v>15325.628996791937</c:v>
                </c:pt>
                <c:pt idx="59">
                  <c:v>15734.644641656349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0605824"/>
        <c:axId val="131740032"/>
      </c:barChart>
      <c:catAx>
        <c:axId val="130605824"/>
        <c:scaling>
          <c:orientation val="minMax"/>
        </c:scaling>
        <c:delete val="0"/>
        <c:axPos val="b"/>
        <c:majorTickMark val="out"/>
        <c:minorTickMark val="none"/>
        <c:tickLblPos val="low"/>
        <c:crossAx val="1317400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174003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306058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1" i="0" baseline="0">
                <a:effectLst/>
              </a:rPr>
              <a:t>Сумма вклада на конец периода</a:t>
            </a:r>
            <a:endParaRPr lang="ru-RU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819059337081148"/>
          <c:y val="0.13411265404079781"/>
          <c:w val="0.87031284215568783"/>
          <c:h val="0.6094258010589012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Накопление!$M$22</c:f>
              <c:strCache>
                <c:ptCount val="1"/>
                <c:pt idx="0">
                  <c:v>Сумма вклада в конце периода, сформированная за счет начального взноса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val>
            <c:numRef>
              <c:f>Накопление!$M$23:$M$82</c:f>
              <c:numCache>
                <c:formatCode>#,##0.00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0"/>
          <c:order val="1"/>
          <c:tx>
            <c:strRef>
              <c:f>Накопление!$K$22</c:f>
              <c:strCache>
                <c:ptCount val="1"/>
                <c:pt idx="0">
                  <c:v>Сумма вклада в конце периода, сформированная за счет взносов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Накопление!$K$23:$K$82</c:f>
              <c:numCache>
                <c:formatCode>#,##0.00</c:formatCode>
                <c:ptCount val="60"/>
                <c:pt idx="0">
                  <c:v>10000.00000000002</c:v>
                </c:pt>
                <c:pt idx="1">
                  <c:v>20000.00000000004</c:v>
                </c:pt>
                <c:pt idx="2">
                  <c:v>30000.000000000058</c:v>
                </c:pt>
                <c:pt idx="3">
                  <c:v>40000.00000000008</c:v>
                </c:pt>
                <c:pt idx="4">
                  <c:v>50000.000000000102</c:v>
                </c:pt>
                <c:pt idx="5">
                  <c:v>60000.000000000116</c:v>
                </c:pt>
                <c:pt idx="6">
                  <c:v>70000.000000000146</c:v>
                </c:pt>
                <c:pt idx="7">
                  <c:v>80000.00000000016</c:v>
                </c:pt>
                <c:pt idx="8">
                  <c:v>90000.000000000175</c:v>
                </c:pt>
                <c:pt idx="9">
                  <c:v>100000.0000000002</c:v>
                </c:pt>
                <c:pt idx="10">
                  <c:v>110000.00000000022</c:v>
                </c:pt>
                <c:pt idx="11">
                  <c:v>120000.00000000023</c:v>
                </c:pt>
                <c:pt idx="12">
                  <c:v>130000.00000000026</c:v>
                </c:pt>
                <c:pt idx="13">
                  <c:v>140000.00000000029</c:v>
                </c:pt>
                <c:pt idx="14">
                  <c:v>150000.00000000029</c:v>
                </c:pt>
                <c:pt idx="15">
                  <c:v>160000.00000000032</c:v>
                </c:pt>
                <c:pt idx="16">
                  <c:v>170000.00000000035</c:v>
                </c:pt>
                <c:pt idx="17">
                  <c:v>180000.00000000035</c:v>
                </c:pt>
                <c:pt idx="18">
                  <c:v>190000.00000000038</c:v>
                </c:pt>
                <c:pt idx="19">
                  <c:v>200000.00000000041</c:v>
                </c:pt>
                <c:pt idx="20">
                  <c:v>210000.00000000041</c:v>
                </c:pt>
                <c:pt idx="21">
                  <c:v>220000.00000000044</c:v>
                </c:pt>
                <c:pt idx="22">
                  <c:v>230000.00000000047</c:v>
                </c:pt>
                <c:pt idx="23">
                  <c:v>240000.00000000047</c:v>
                </c:pt>
                <c:pt idx="24">
                  <c:v>250000.00000000049</c:v>
                </c:pt>
                <c:pt idx="25">
                  <c:v>260000.00000000052</c:v>
                </c:pt>
                <c:pt idx="26">
                  <c:v>270000.00000000052</c:v>
                </c:pt>
                <c:pt idx="27">
                  <c:v>280000.00000000058</c:v>
                </c:pt>
                <c:pt idx="28">
                  <c:v>290000.00000000058</c:v>
                </c:pt>
                <c:pt idx="29">
                  <c:v>300000.00000000058</c:v>
                </c:pt>
                <c:pt idx="30">
                  <c:v>310000.00000000064</c:v>
                </c:pt>
                <c:pt idx="31">
                  <c:v>320000.00000000064</c:v>
                </c:pt>
                <c:pt idx="32">
                  <c:v>330000.00000000064</c:v>
                </c:pt>
                <c:pt idx="33">
                  <c:v>340000.0000000007</c:v>
                </c:pt>
                <c:pt idx="34">
                  <c:v>350000.0000000007</c:v>
                </c:pt>
                <c:pt idx="35">
                  <c:v>360000.0000000007</c:v>
                </c:pt>
                <c:pt idx="36">
                  <c:v>370000.00000000076</c:v>
                </c:pt>
                <c:pt idx="37">
                  <c:v>380000.00000000076</c:v>
                </c:pt>
                <c:pt idx="38">
                  <c:v>390000.00000000076</c:v>
                </c:pt>
                <c:pt idx="39">
                  <c:v>400000.00000000081</c:v>
                </c:pt>
                <c:pt idx="40">
                  <c:v>410000.00000000081</c:v>
                </c:pt>
                <c:pt idx="41">
                  <c:v>420000.00000000081</c:v>
                </c:pt>
                <c:pt idx="42">
                  <c:v>430000.00000000087</c:v>
                </c:pt>
                <c:pt idx="43">
                  <c:v>440000.00000000087</c:v>
                </c:pt>
                <c:pt idx="44">
                  <c:v>450000.00000000087</c:v>
                </c:pt>
                <c:pt idx="45">
                  <c:v>460000.00000000093</c:v>
                </c:pt>
                <c:pt idx="46">
                  <c:v>470000.00000000093</c:v>
                </c:pt>
                <c:pt idx="47">
                  <c:v>480000.00000000093</c:v>
                </c:pt>
                <c:pt idx="48">
                  <c:v>490000.00000000099</c:v>
                </c:pt>
                <c:pt idx="49">
                  <c:v>500000.00000000099</c:v>
                </c:pt>
                <c:pt idx="50">
                  <c:v>510000.00000000105</c:v>
                </c:pt>
                <c:pt idx="51">
                  <c:v>520000.00000000105</c:v>
                </c:pt>
                <c:pt idx="52">
                  <c:v>530000.00000000105</c:v>
                </c:pt>
                <c:pt idx="53">
                  <c:v>540000.00000000105</c:v>
                </c:pt>
                <c:pt idx="54">
                  <c:v>550000.00000000105</c:v>
                </c:pt>
                <c:pt idx="55">
                  <c:v>560000.00000000116</c:v>
                </c:pt>
                <c:pt idx="56">
                  <c:v>570000.00000000116</c:v>
                </c:pt>
                <c:pt idx="57">
                  <c:v>580000.00000000116</c:v>
                </c:pt>
                <c:pt idx="58">
                  <c:v>590000.00000000116</c:v>
                </c:pt>
                <c:pt idx="59">
                  <c:v>600000.00000000116</c:v>
                </c:pt>
              </c:numCache>
            </c:numRef>
          </c:val>
        </c:ser>
        <c:ser>
          <c:idx val="1"/>
          <c:order val="2"/>
          <c:tx>
            <c:strRef>
              <c:f>Накопление!$L$22</c:f>
              <c:strCache>
                <c:ptCount val="1"/>
                <c:pt idx="0">
                  <c:v>Сумма вклада в конце периода, сформированная за счет %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Накопление!$L$23:$L$82</c:f>
              <c:numCache>
                <c:formatCode>#,##0.00</c:formatCode>
                <c:ptCount val="60"/>
                <c:pt idx="0">
                  <c:v>0</c:v>
                </c:pt>
                <c:pt idx="1">
                  <c:v>161.50265997982657</c:v>
                </c:pt>
                <c:pt idx="2">
                  <c:v>487.11629085753998</c:v>
                </c:pt>
                <c:pt idx="3">
                  <c:v>979.49132846632176</c:v>
                </c:pt>
                <c:pt idx="4">
                  <c:v>1641.3210138830786</c:v>
                </c:pt>
                <c:pt idx="5">
                  <c:v>2475.3420847445022</c:v>
                </c:pt>
                <c:pt idx="6">
                  <c:v>3484.3354777280879</c:v>
                </c:pt>
                <c:pt idx="7">
                  <c:v>4671.1270423783953</c:v>
                </c:pt>
                <c:pt idx="8">
                  <c:v>6038.5882664617911</c:v>
                </c:pt>
                <c:pt idx="9">
                  <c:v>7589.6370130358882</c:v>
                </c:pt>
                <c:pt idx="10">
                  <c:v>9327.2382694228218</c:v>
                </c:pt>
                <c:pt idx="11">
                  <c:v>11254.404908278657</c:v>
                </c:pt>
                <c:pt idx="12">
                  <c:v>13374.198460954283</c:v>
                </c:pt>
                <c:pt idx="13">
                  <c:v>15689.729903346259</c:v>
                </c:pt>
                <c:pt idx="14">
                  <c:v>18204.160454439381</c:v>
                </c:pt>
                <c:pt idx="15">
                  <c:v>20920.70238774594</c:v>
                </c:pt>
                <c:pt idx="16">
                  <c:v>23842.619855849898</c:v>
                </c:pt>
                <c:pt idx="17">
                  <c:v>26973.229728267714</c:v>
                </c:pt>
                <c:pt idx="18">
                  <c:v>30315.902442840816</c:v>
                </c:pt>
                <c:pt idx="19">
                  <c:v>33874.062870878297</c:v>
                </c:pt>
                <c:pt idx="20">
                  <c:v>37651.19119627191</c:v>
                </c:pt>
                <c:pt idx="21">
                  <c:v>41650.823808808971</c:v>
                </c:pt>
                <c:pt idx="22">
                  <c:v>45876.554211912538</c:v>
                </c:pt>
                <c:pt idx="23">
                  <c:v>50332.033945041818</c:v>
                </c:pt>
                <c:pt idx="24">
                  <c:v>55020.973520989581</c:v>
                </c:pt>
                <c:pt idx="25">
                  <c:v>59947.143378317196</c:v>
                </c:pt>
                <c:pt idx="26">
                  <c:v>65114.374849171727</c:v>
                </c:pt>
                <c:pt idx="27">
                  <c:v>70526.561142733524</c:v>
                </c:pt>
                <c:pt idx="28">
                  <c:v>76187.658344546813</c:v>
                </c:pt>
                <c:pt idx="29">
                  <c:v>82101.686431989641</c:v>
                </c:pt>
                <c:pt idx="30">
                  <c:v>88272.730306144047</c:v>
                </c:pt>
                <c:pt idx="31">
                  <c:v>94704.940840331095</c:v>
                </c:pt>
                <c:pt idx="32">
                  <c:v>101402.53594558011</c:v>
                </c:pt>
                <c:pt idx="33">
                  <c:v>108369.80165330552</c:v>
                </c:pt>
                <c:pt idx="34">
                  <c:v>115611.09321546914</c:v>
                </c:pt>
                <c:pt idx="35">
                  <c:v>123130.83622251048</c:v>
                </c:pt>
                <c:pt idx="36">
                  <c:v>130933.52773933182</c:v>
                </c:pt>
                <c:pt idx="37">
                  <c:v>139023.73745962986</c:v>
                </c:pt>
                <c:pt idx="38">
                  <c:v>147406.10887887</c:v>
                </c:pt>
                <c:pt idx="39">
                  <c:v>156085.36048620459</c:v>
                </c:pt>
                <c:pt idx="40">
                  <c:v>165066.28697564089</c:v>
                </c:pt>
                <c:pt idx="41">
                  <c:v>174353.76047676973</c:v>
                </c:pt>
                <c:pt idx="42">
                  <c:v>183952.73180537086</c:v>
                </c:pt>
                <c:pt idx="43">
                  <c:v>193868.23173421572</c:v>
                </c:pt>
                <c:pt idx="44">
                  <c:v>204105.37228439422</c:v>
                </c:pt>
                <c:pt idx="45">
                  <c:v>214669.34803749667</c:v>
                </c:pt>
                <c:pt idx="46">
                  <c:v>225565.4374689878</c:v>
                </c:pt>
                <c:pt idx="47">
                  <c:v>236799.00430311516</c:v>
                </c:pt>
                <c:pt idx="48">
                  <c:v>248375.49888969961</c:v>
                </c:pt>
                <c:pt idx="49">
                  <c:v>260300.45960316143</c:v>
                </c:pt>
                <c:pt idx="50">
                  <c:v>272579.51426414098</c:v>
                </c:pt>
                <c:pt idx="51">
                  <c:v>285218.38158407895</c:v>
                </c:pt>
                <c:pt idx="52">
                  <c:v>298222.87263312691</c:v>
                </c:pt>
                <c:pt idx="53">
                  <c:v>311598.89233176527</c:v>
                </c:pt>
                <c:pt idx="54">
                  <c:v>325352.44096651068</c:v>
                </c:pt>
                <c:pt idx="55">
                  <c:v>339489.61573010328</c:v>
                </c:pt>
                <c:pt idx="56">
                  <c:v>354016.61228656769</c:v>
                </c:pt>
                <c:pt idx="57">
                  <c:v>368939.72636155057</c:v>
                </c:pt>
                <c:pt idx="58">
                  <c:v>384265.35535834252</c:v>
                </c:pt>
                <c:pt idx="59">
                  <c:v>399999.99999999889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3597440"/>
        <c:axId val="133623808"/>
      </c:barChart>
      <c:catAx>
        <c:axId val="133597440"/>
        <c:scaling>
          <c:orientation val="minMax"/>
        </c:scaling>
        <c:delete val="0"/>
        <c:axPos val="b"/>
        <c:majorTickMark val="out"/>
        <c:minorTickMark val="none"/>
        <c:tickLblPos val="low"/>
        <c:crossAx val="1336238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362380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33597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033824752807727"/>
          <c:y val="0.82298025277061759"/>
          <c:w val="0.66955772247304568"/>
          <c:h val="0.1641568733789561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1040468</xdr:colOff>
      <xdr:row>0</xdr:row>
      <xdr:rowOff>145676</xdr:rowOff>
    </xdr:from>
    <xdr:to>
      <xdr:col>13</xdr:col>
      <xdr:colOff>437030</xdr:colOff>
      <xdr:row>17</xdr:row>
      <xdr:rowOff>44824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569821</xdr:colOff>
      <xdr:row>0</xdr:row>
      <xdr:rowOff>123266</xdr:rowOff>
    </xdr:from>
    <xdr:to>
      <xdr:col>12</xdr:col>
      <xdr:colOff>1400735</xdr:colOff>
      <xdr:row>5</xdr:row>
      <xdr:rowOff>661148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569820</xdr:colOff>
      <xdr:row>5</xdr:row>
      <xdr:rowOff>661148</xdr:rowOff>
    </xdr:from>
    <xdr:to>
      <xdr:col>12</xdr:col>
      <xdr:colOff>1400734</xdr:colOff>
      <xdr:row>19</xdr:row>
      <xdr:rowOff>67237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Табл1" displayName="Табл1" ref="A22:K83" totalsRowCount="1" headerRowDxfId="32">
  <autoFilter ref="A22:K82"/>
  <tableColumns count="11">
    <tableColumn id="1" name="Период (№месяца)" totalsRowLabel="Итог" dataDxfId="31">
      <calculatedColumnFormula>IF(ROW()-ROW(Табл1[[#Headers],[Период (№месяца)]])&gt;$B$9,0,ROW()-ROW(Табл1[[#Headers],[Период (№месяца)]]))</calculatedColumnFormula>
    </tableColumn>
    <tableColumn id="2" name="Тело кредита на начало периода" dataDxfId="30">
      <calculatedColumnFormula>$B$5+SUM($D$22:D22)</calculatedColumnFormula>
    </tableColumn>
    <tableColumn id="4" name="Регулярный платеж" totalsRowFunction="sum" totalsRowDxfId="29">
      <calculatedColumnFormula>PMT($B$13,$B$9,$B$5,$B$6,$B$10)</calculatedColumnFormula>
    </tableColumn>
    <tableColumn id="6" name="Тело кредита" totalsRowFunction="sum" totalsRowDxfId="28">
      <calculatedColumnFormula>PPMT($B$13,A23,$B$9,$B$5,$B$6,$B$10)</calculatedColumnFormula>
    </tableColumn>
    <tableColumn id="3" name="Процент к уплате" totalsRowFunction="sum" totalsRowDxfId="27">
      <calculatedColumnFormula>IPMT($B$13,A23,$B$9,$B$5,$B$6,$B$10)</calculatedColumnFormula>
    </tableColumn>
    <tableColumn id="8" name="Всего погашено тело кредита" dataDxfId="26" totalsRowDxfId="25">
      <calculatedColumnFormula>SUM($D$23:D23)</calculatedColumnFormula>
    </tableColumn>
    <tableColumn id="5" name="Тело кредита на конец периода" dataDxfId="24" totalsRowDxfId="23">
      <calculatedColumnFormula>Табл1[[#This Row],[Тело кредита на начало периода]]+Табл1[[#This Row],[Тело кредита]]</calculatedColumnFormula>
    </tableColumn>
    <tableColumn id="9" name="Тело кредита на начало периода2" dataDxfId="22">
      <calculatedColumnFormula>PV($B$13,$B$9-Табл1[[#This Row],[Период (№месяца)]]+1,$B$11,$B$6,$B$10)/IF(Табл1[[#This Row],[Период (№месяца)]]=1,1,1+$B$10*$B$13)</calculatedColumnFormula>
    </tableColumn>
    <tableColumn id="7" name="Тело кредита на конец периода2" dataDxfId="21">
      <calculatedColumnFormula>-FV($B$13,Табл1[[#This Row],[Период (№месяца)]],$B$11,$B$5,$B$10)/(1+$B$10*$B$13)</calculatedColumnFormula>
    </tableColumn>
    <tableColumn id="10" name="Тело кредита на начало периода3" dataDxfId="20">
      <calculatedColumnFormula>-(($B$11*(1+$B$13*$B$10)/$B$13)*(1-(1+$B$13)^(Табл1[[#This Row],[Период (№месяца)]]-1-$B$9))+$B$6*((1+$B$13)^(Табл1[[#This Row],[Период (№месяца)]]-1-$B$9)))/IF(Табл1[[#This Row],[Период (№месяца)]]=1,1,1+$B$10*$B$13)</calculatedColumnFormula>
    </tableColumn>
    <tableColumn id="11" name="Тело кредита на конец периода3" dataDxfId="19">
      <calculatedColumnFormula>-($B$11*(1+$B$13*$B$10)*(1-(1+$B$13)^Табл1[[#This Row],[Период (№месяца)]])/$B$13-$B$5*((1+$B$13)^Табл1[[#This Row],[Период (№месяца)]]))/(1+$B$10*$B$13)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12" displayName="Табл12" ref="A22:G83" totalsRowCount="1" headerRowDxfId="16">
  <autoFilter ref="A22:G82"/>
  <tableColumns count="7">
    <tableColumn id="1" name="Период (№месяца)" totalsRowLabel="Итог" dataDxfId="15">
      <calculatedColumnFormula>IF(ROW()-ROW(Табл12[[#Headers],[Период (№месяца)]])&gt;$B$9,0,ROW()-ROW(Табл12[[#Headers],[Период (№месяца)]]))</calculatedColumnFormula>
    </tableColumn>
    <tableColumn id="2" name="Баланс на начало периода" dataDxfId="14">
      <calculatedColumnFormula>$B$5+SUM($E$22:E22)</calculatedColumnFormula>
    </tableColumn>
    <tableColumn id="4" name="Регулярный взнос" totalsRowFunction="sum" totalsRowDxfId="13">
      <calculatedColumnFormula>PMT($B$13,$B$9,$B$5,$B$6,$B$10)</calculatedColumnFormula>
    </tableColumn>
    <tableColumn id="3" name="Начисленный % за период" totalsRowFunction="sum" dataDxfId="12" totalsRowDxfId="11">
      <calculatedColumnFormula>IPMT($B$13,A23,$B$9,$B$5,$B$6,$B$10)</calculatedColumnFormula>
    </tableColumn>
    <tableColumn id="6" name="Пополнение вклада за период (Взнос + %)" totalsRowFunction="sum" totalsRowDxfId="10">
      <calculatedColumnFormula>PPMT($B$13,A23,$B$9,$B$5,$B$6,$B$10)</calculatedColumnFormula>
    </tableColumn>
    <tableColumn id="8" name="Сумма вклада в конце периода" dataDxfId="9" totalsRowDxfId="8">
      <calculatedColumnFormula>SUM($E$22:E23)+$B$5</calculatedColumnFormula>
    </tableColumn>
    <tableColumn id="5" name="Сумма вклада в конце периода, сформированная за счет взносов" dataDxfId="7" totalsRowDxfId="6">
      <calculatedColumnFormula>Табл12[[#This Row],[Регулярный взнос]]*Табл12[[#This Row],[Период (№месяца)]]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I22:M82" totalsRowShown="0" headerRowDxfId="5">
  <autoFilter ref="I22:M82"/>
  <tableColumns count="5">
    <tableColumn id="1" name="Регулярный взнос" dataDxfId="4">
      <calculatedColumnFormula>-Табл12[[#This Row],[Регулярный взнос]]</calculatedColumnFormula>
    </tableColumn>
    <tableColumn id="2" name="Начисленный % за период" dataDxfId="3">
      <calculatedColumnFormula>Табл12[[#This Row],[Начисленный % за период]]</calculatedColumnFormula>
    </tableColumn>
    <tableColumn id="3" name="Сумма вклада в конце периода, сформированная за счет взносов" dataDxfId="2">
      <calculatedColumnFormula>I23*Табл12[[#This Row],[Период (№месяца)]]</calculatedColumnFormula>
    </tableColumn>
    <tableColumn id="4" name="Сумма вклада в конце периода, сформированная за счет %" dataDxfId="1">
      <calculatedColumnFormula>SUM($J$22:J23)</calculatedColumnFormula>
    </tableColumn>
    <tableColumn id="5" name="Сумма вклада в конце периода, сформированная за счет начального взноса" dataDxfId="0">
      <calculatedColumnFormula>-$B$5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annuitet-opredelyaem-procentnuyu-stavku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83"/>
  <sheetViews>
    <sheetView tabSelected="1" zoomScale="85" zoomScaleNormal="85" workbookViewId="0">
      <selection activeCell="C18" sqref="C18"/>
    </sheetView>
  </sheetViews>
  <sheetFormatPr defaultRowHeight="15" x14ac:dyDescent="0.25"/>
  <cols>
    <col min="1" max="1" width="23.140625" customWidth="1"/>
    <col min="2" max="2" width="17.85546875" customWidth="1"/>
    <col min="3" max="3" width="13.42578125" customWidth="1"/>
    <col min="4" max="4" width="14.5703125" customWidth="1"/>
    <col min="5" max="5" width="13.42578125" bestFit="1" customWidth="1"/>
    <col min="6" max="6" width="16.85546875" customWidth="1"/>
    <col min="7" max="7" width="19.140625" customWidth="1"/>
    <col min="8" max="8" width="15.5703125" customWidth="1"/>
    <col min="9" max="9" width="18" customWidth="1"/>
    <col min="10" max="10" width="14.5703125" customWidth="1"/>
    <col min="11" max="11" width="13.85546875" customWidth="1"/>
    <col min="12" max="12" width="7" customWidth="1"/>
    <col min="13" max="13" width="11.85546875" customWidth="1"/>
    <col min="14" max="14" width="13.42578125" customWidth="1"/>
    <col min="15" max="15" width="13.85546875" customWidth="1"/>
    <col min="16" max="16" width="13" customWidth="1"/>
    <col min="17" max="18" width="12.5703125" bestFit="1" customWidth="1"/>
    <col min="270" max="270" width="10" customWidth="1"/>
    <col min="351" max="351" width="8.5703125" customWidth="1"/>
  </cols>
  <sheetData>
    <row r="1" spans="1:8" ht="26.25" x14ac:dyDescent="0.25">
      <c r="A1" s="55" t="s">
        <v>78</v>
      </c>
      <c r="B1" s="55"/>
      <c r="C1" s="55"/>
      <c r="D1" s="55"/>
      <c r="E1" s="55"/>
      <c r="F1" s="55"/>
      <c r="G1" s="55"/>
    </row>
    <row r="2" spans="1:8" ht="15.75" x14ac:dyDescent="0.25">
      <c r="A2" s="58" t="s">
        <v>79</v>
      </c>
      <c r="B2" s="56"/>
      <c r="C2" s="56"/>
      <c r="D2" s="56"/>
      <c r="E2" s="56"/>
      <c r="F2" s="56"/>
      <c r="G2" s="56"/>
    </row>
    <row r="3" spans="1:8" ht="18.75" x14ac:dyDescent="0.25">
      <c r="A3" s="57" t="s">
        <v>80</v>
      </c>
      <c r="B3" s="57"/>
      <c r="C3" s="57"/>
      <c r="D3" s="57"/>
      <c r="E3" s="57"/>
      <c r="F3" s="57"/>
      <c r="G3" s="57"/>
    </row>
    <row r="4" spans="1:8" x14ac:dyDescent="0.25">
      <c r="A4" s="10" t="s">
        <v>22</v>
      </c>
      <c r="B4" s="10" t="s">
        <v>23</v>
      </c>
      <c r="C4" s="10" t="s">
        <v>37</v>
      </c>
      <c r="D4" s="10"/>
      <c r="E4" s="10" t="s">
        <v>24</v>
      </c>
      <c r="F4" s="8"/>
    </row>
    <row r="5" spans="1:8" x14ac:dyDescent="0.25">
      <c r="A5" s="7" t="s">
        <v>35</v>
      </c>
      <c r="B5" s="13">
        <v>100000</v>
      </c>
      <c r="C5" s="7" t="s">
        <v>13</v>
      </c>
      <c r="D5" s="7" t="s">
        <v>12</v>
      </c>
      <c r="E5" s="7" t="s">
        <v>11</v>
      </c>
      <c r="F5" s="8"/>
    </row>
    <row r="6" spans="1:8" x14ac:dyDescent="0.25">
      <c r="A6" s="7" t="s">
        <v>26</v>
      </c>
      <c r="B6" s="13">
        <v>0</v>
      </c>
      <c r="C6" s="7" t="s">
        <v>10</v>
      </c>
      <c r="D6" s="7" t="s">
        <v>9</v>
      </c>
      <c r="E6" s="7" t="s">
        <v>8</v>
      </c>
      <c r="F6" s="8"/>
    </row>
    <row r="7" spans="1:8" x14ac:dyDescent="0.25">
      <c r="A7" s="7" t="s">
        <v>34</v>
      </c>
      <c r="B7" s="18">
        <v>5</v>
      </c>
      <c r="C7" s="7"/>
      <c r="D7" s="7"/>
      <c r="E7" s="7"/>
      <c r="F7" s="8"/>
      <c r="H7" s="6"/>
    </row>
    <row r="8" spans="1:8" x14ac:dyDescent="0.25">
      <c r="A8" s="7" t="s">
        <v>33</v>
      </c>
      <c r="B8" s="17">
        <v>12</v>
      </c>
      <c r="C8" s="7"/>
      <c r="D8" s="7"/>
      <c r="E8" s="7"/>
      <c r="F8" s="8"/>
    </row>
    <row r="9" spans="1:8" x14ac:dyDescent="0.25">
      <c r="A9" s="7" t="s">
        <v>17</v>
      </c>
      <c r="B9" s="15">
        <f>B7*B8</f>
        <v>60</v>
      </c>
      <c r="C9" s="7" t="s">
        <v>16</v>
      </c>
      <c r="D9" s="7" t="s">
        <v>15</v>
      </c>
      <c r="E9" s="7" t="s">
        <v>14</v>
      </c>
      <c r="F9" s="8"/>
    </row>
    <row r="10" spans="1:8" x14ac:dyDescent="0.25">
      <c r="A10" s="7" t="s">
        <v>21</v>
      </c>
      <c r="B10" s="9">
        <v>0</v>
      </c>
      <c r="C10" s="7" t="s">
        <v>7</v>
      </c>
      <c r="D10" s="7" t="s">
        <v>6</v>
      </c>
      <c r="E10" s="7" t="s">
        <v>32</v>
      </c>
      <c r="F10" s="8"/>
      <c r="H10" s="6"/>
    </row>
    <row r="11" spans="1:8" x14ac:dyDescent="0.25">
      <c r="A11" s="25" t="s">
        <v>25</v>
      </c>
      <c r="B11" s="11">
        <v>-3000</v>
      </c>
      <c r="C11" s="24" t="s">
        <v>38</v>
      </c>
      <c r="D11" s="24" t="s">
        <v>39</v>
      </c>
      <c r="E11" s="7"/>
      <c r="F11" s="8"/>
      <c r="H11" s="6"/>
    </row>
    <row r="12" spans="1:8" x14ac:dyDescent="0.25">
      <c r="F12" s="8"/>
      <c r="H12" s="6"/>
    </row>
    <row r="13" spans="1:8" x14ac:dyDescent="0.25">
      <c r="A13" s="7" t="s">
        <v>64</v>
      </c>
      <c r="B13" s="16">
        <f>RATE(B9,B11,B5,B6,B10)</f>
        <v>2.175042287372312E-2</v>
      </c>
      <c r="C13" s="7" t="s">
        <v>20</v>
      </c>
      <c r="D13" s="7" t="s">
        <v>19</v>
      </c>
      <c r="E13" s="7" t="s">
        <v>18</v>
      </c>
      <c r="F13" s="8"/>
    </row>
    <row r="14" spans="1:8" x14ac:dyDescent="0.25">
      <c r="A14" s="7" t="s">
        <v>65</v>
      </c>
      <c r="B14" s="16">
        <f>B13*B8</f>
        <v>0.26100507448467747</v>
      </c>
    </row>
    <row r="16" spans="1:8" ht="30" x14ac:dyDescent="0.25">
      <c r="A16" s="28" t="s">
        <v>60</v>
      </c>
      <c r="B16" s="11">
        <f>B11*B9</f>
        <v>-180000</v>
      </c>
      <c r="C16" s="32"/>
      <c r="D16" s="12"/>
    </row>
    <row r="17" spans="1:15" x14ac:dyDescent="0.25">
      <c r="A17" s="28" t="s">
        <v>61</v>
      </c>
      <c r="B17" s="11">
        <f ca="1">SUMPRODUCT(IPMT(B13,ROW(INDIRECT("1:"&amp;B9)),B9,B5,B6,B10))</f>
        <v>-79999.999999999913</v>
      </c>
      <c r="D17" s="12"/>
      <c r="G17" s="12"/>
      <c r="H17" s="23"/>
      <c r="I17" s="23"/>
    </row>
    <row r="18" spans="1:15" ht="30" x14ac:dyDescent="0.25">
      <c r="A18" s="28" t="s">
        <v>62</v>
      </c>
      <c r="B18" s="11">
        <f ca="1">B16-B17</f>
        <v>-100000.00000000009</v>
      </c>
      <c r="D18" s="12"/>
      <c r="E18" s="20"/>
      <c r="G18" s="12"/>
      <c r="H18" s="23"/>
      <c r="I18" s="23"/>
    </row>
    <row r="19" spans="1:15" x14ac:dyDescent="0.25">
      <c r="D19" s="12"/>
      <c r="E19" s="20"/>
      <c r="F19" s="20"/>
      <c r="G19" s="12"/>
      <c r="H19" s="23"/>
      <c r="I19" s="23"/>
    </row>
    <row r="20" spans="1:15" x14ac:dyDescent="0.25">
      <c r="A20" s="1" t="s">
        <v>31</v>
      </c>
      <c r="C20" s="12"/>
      <c r="D20" s="12"/>
      <c r="H20" s="1" t="s">
        <v>74</v>
      </c>
    </row>
    <row r="21" spans="1:15" hidden="1" x14ac:dyDescent="0.25">
      <c r="A21" s="1"/>
      <c r="I21" s="21"/>
    </row>
    <row r="22" spans="1:15" ht="45" x14ac:dyDescent="0.25">
      <c r="A22" s="14" t="s">
        <v>27</v>
      </c>
      <c r="B22" s="14" t="s">
        <v>66</v>
      </c>
      <c r="C22" s="14" t="s">
        <v>68</v>
      </c>
      <c r="D22" s="14" t="s">
        <v>29</v>
      </c>
      <c r="E22" s="14" t="s">
        <v>69</v>
      </c>
      <c r="F22" s="14" t="s">
        <v>36</v>
      </c>
      <c r="G22" s="14" t="s">
        <v>67</v>
      </c>
      <c r="H22" s="34" t="s">
        <v>70</v>
      </c>
      <c r="I22" s="34" t="s">
        <v>73</v>
      </c>
      <c r="J22" s="33" t="s">
        <v>71</v>
      </c>
      <c r="K22" s="33" t="s">
        <v>72</v>
      </c>
    </row>
    <row r="23" spans="1:15" x14ac:dyDescent="0.25">
      <c r="A23" s="5">
        <f>IF(ROW()-ROW(Табл1[[#Headers],[Период (№месяца)]])&gt;$B$9,0,ROW()-ROW(Табл1[[#Headers],[Период (№месяца)]]))</f>
        <v>1</v>
      </c>
      <c r="B23" s="6">
        <f>$B$5+SUM($D$22:D22)</f>
        <v>100000</v>
      </c>
      <c r="C23" s="6">
        <f t="shared" ref="C23:C54" si="0">PMT($B$13,$B$9,$B$5,$B$6,$B$10)</f>
        <v>-2999.9999999999982</v>
      </c>
      <c r="D23" s="6">
        <f t="shared" ref="D23:D54" si="1">PPMT($B$13,A23,$B$9,$B$5,$B$6,$B$10)</f>
        <v>-824.95771262768653</v>
      </c>
      <c r="E23" s="6">
        <f t="shared" ref="E23:E54" si="2">IPMT($B$13,A23,$B$9,$B$5,$B$6,$B$10)</f>
        <v>-2175.0422873723119</v>
      </c>
      <c r="F23" s="6">
        <f>SUM($D$23:D23)</f>
        <v>-824.95771262768653</v>
      </c>
      <c r="G23" s="6">
        <f>Табл1[[#This Row],[Тело кредита на начало периода]]+Табл1[[#This Row],[Тело кредита]]</f>
        <v>99175.042287372315</v>
      </c>
      <c r="H23" s="19">
        <f>PV($B$13,$B$9-Табл1[[#This Row],[Период (№месяца)]]+1,$B$11,$B$6,$B$10)/IF(Табл1[[#This Row],[Период (№месяца)]]=1,1,1+$B$10*$B$13)</f>
        <v>100000.00000000001</v>
      </c>
      <c r="I23" s="6">
        <f>-FV($B$13,Табл1[[#This Row],[Период (№месяца)]],$B$11,$B$5,$B$10)/(1+$B$10*$B$13)</f>
        <v>99175.042287372315</v>
      </c>
      <c r="J23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100000.00000000004</v>
      </c>
      <c r="K23" s="6">
        <f>-($B$11*(1+$B$13*$B$10)*(1-(1+$B$13)^Табл1[[#This Row],[Период (№месяца)]])/$B$13-$B$5*((1+$B$13)^Табл1[[#This Row],[Период (№месяца)]]))/(1+$B$10*$B$13)</f>
        <v>99175.042287372315</v>
      </c>
      <c r="M23" s="20"/>
      <c r="N23" s="20"/>
      <c r="O23" s="20"/>
    </row>
    <row r="24" spans="1:15" x14ac:dyDescent="0.25">
      <c r="A24" s="5">
        <f>IF(ROW()-ROW(Табл1[[#Headers],[Период (№месяца)]])&gt;$B$9,0,ROW()-ROW(Табл1[[#Headers],[Период (№месяца)]]))</f>
        <v>2</v>
      </c>
      <c r="B24" s="6">
        <f>$B$5+SUM($D$22:D23)</f>
        <v>99175.042287372315</v>
      </c>
      <c r="C24" s="6">
        <f t="shared" si="0"/>
        <v>-2999.9999999999982</v>
      </c>
      <c r="D24" s="6">
        <f t="shared" si="1"/>
        <v>-842.90089173027786</v>
      </c>
      <c r="E24" s="6">
        <f t="shared" si="2"/>
        <v>-2157.0991082697205</v>
      </c>
      <c r="F24" s="6">
        <f>SUM($D$23:D24)</f>
        <v>-1667.8586043579644</v>
      </c>
      <c r="G24" s="6">
        <f>Табл1[[#This Row],[Тело кредита на начало периода]]+Табл1[[#This Row],[Тело кредита]]</f>
        <v>98332.141395642044</v>
      </c>
      <c r="H24" s="19">
        <f>PV($B$13,$B$9-Табл1[[#This Row],[Период (№месяца)]]+1,$B$11,$B$6,$B$10)/IF(Табл1[[#This Row],[Период (№месяца)]]=1,1,1+$B$10*$B$13)</f>
        <v>99175.042287372344</v>
      </c>
      <c r="I24" s="6">
        <f>-FV($B$13,Табл1[[#This Row],[Период (№месяца)]],$B$11,$B$5,$B$10)/(1+$B$10*$B$13)</f>
        <v>98332.141395642029</v>
      </c>
      <c r="J24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99175.042287372358</v>
      </c>
      <c r="K24" s="6">
        <f>-($B$11*(1+$B$13*$B$10)*(1-(1+$B$13)^Табл1[[#This Row],[Период (№месяца)]])/$B$13-$B$5*((1+$B$13)^Табл1[[#This Row],[Период (№месяца)]]))/(1+$B$10*$B$13)</f>
        <v>98332.141395642029</v>
      </c>
      <c r="M24" s="20"/>
      <c r="N24" s="20"/>
      <c r="O24" s="20"/>
    </row>
    <row r="25" spans="1:15" x14ac:dyDescent="0.25">
      <c r="A25" s="5">
        <f>IF(ROW()-ROW(Табл1[[#Headers],[Период (№месяца)]])&gt;$B$9,0,ROW()-ROW(Табл1[[#Headers],[Период (№месяца)]]))</f>
        <v>3</v>
      </c>
      <c r="B25" s="6">
        <f>$B$5+SUM($D$22:D24)</f>
        <v>98332.141395642029</v>
      </c>
      <c r="C25" s="6">
        <f t="shared" si="0"/>
        <v>-2999.9999999999982</v>
      </c>
      <c r="D25" s="6">
        <f t="shared" si="1"/>
        <v>-861.23434256604992</v>
      </c>
      <c r="E25" s="6">
        <f t="shared" si="2"/>
        <v>-2138.7656574339485</v>
      </c>
      <c r="F25" s="6">
        <f>SUM($D$23:D25)</f>
        <v>-2529.0929469240145</v>
      </c>
      <c r="G25" s="6">
        <f>Табл1[[#This Row],[Тело кредита на начало периода]]+Табл1[[#This Row],[Тело кредита]]</f>
        <v>97470.907053075978</v>
      </c>
      <c r="H25" s="19">
        <f>PV($B$13,$B$9-Табл1[[#This Row],[Период (№месяца)]]+1,$B$11,$B$6,$B$10)/IF(Табл1[[#This Row],[Период (№месяца)]]=1,1,1+$B$10*$B$13)</f>
        <v>98332.141395642058</v>
      </c>
      <c r="I25" s="6">
        <f>-FV($B$13,Табл1[[#This Row],[Период (№месяца)]],$B$11,$B$5,$B$10)/(1+$B$10*$B$13)</f>
        <v>97470.907053075978</v>
      </c>
      <c r="J25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98332.141395642073</v>
      </c>
      <c r="K25" s="6">
        <f>-($B$11*(1+$B$13*$B$10)*(1-(1+$B$13)^Табл1[[#This Row],[Период (№месяца)]])/$B$13-$B$5*((1+$B$13)^Табл1[[#This Row],[Период (№месяца)]]))/(1+$B$10*$B$13)</f>
        <v>97470.907053075978</v>
      </c>
      <c r="M25" s="20"/>
      <c r="N25" s="20"/>
      <c r="O25" s="20"/>
    </row>
    <row r="26" spans="1:15" x14ac:dyDescent="0.25">
      <c r="A26" s="5">
        <f>IF(ROW()-ROW(Табл1[[#Headers],[Период (№месяца)]])&gt;$B$9,0,ROW()-ROW(Табл1[[#Headers],[Период (№месяца)]]))</f>
        <v>4</v>
      </c>
      <c r="B26" s="6">
        <f>$B$5+SUM($D$22:D25)</f>
        <v>97470.907053075993</v>
      </c>
      <c r="C26" s="6">
        <f t="shared" si="0"/>
        <v>-2999.9999999999982</v>
      </c>
      <c r="D26" s="6">
        <f t="shared" si="1"/>
        <v>-879.96655371023439</v>
      </c>
      <c r="E26" s="6">
        <f t="shared" si="2"/>
        <v>-2120.033446289764</v>
      </c>
      <c r="F26" s="6">
        <f>SUM($D$23:D26)</f>
        <v>-3409.0595006342492</v>
      </c>
      <c r="G26" s="6">
        <f>Табл1[[#This Row],[Тело кредита на начало периода]]+Табл1[[#This Row],[Тело кредита]]</f>
        <v>96590.940499365752</v>
      </c>
      <c r="H26" s="19">
        <f>PV($B$13,$B$9-Табл1[[#This Row],[Период (№месяца)]]+1,$B$11,$B$6,$B$10)/IF(Табл1[[#This Row],[Период (№месяца)]]=1,1,1+$B$10*$B$13)</f>
        <v>97470.907053076007</v>
      </c>
      <c r="I26" s="6">
        <f>-FV($B$13,Табл1[[#This Row],[Период (№месяца)]],$B$11,$B$5,$B$10)/(1+$B$10*$B$13)</f>
        <v>96590.940499365737</v>
      </c>
      <c r="J26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97470.907053076022</v>
      </c>
      <c r="K26" s="6">
        <f>-($B$11*(1+$B$13*$B$10)*(1-(1+$B$13)^Табл1[[#This Row],[Период (№месяца)]])/$B$13-$B$5*((1+$B$13)^Табл1[[#This Row],[Период (№месяца)]]))/(1+$B$10*$B$13)</f>
        <v>96590.940499365737</v>
      </c>
      <c r="M26" s="20"/>
      <c r="N26" s="20"/>
      <c r="O26" s="20"/>
    </row>
    <row r="27" spans="1:15" x14ac:dyDescent="0.25">
      <c r="A27" s="5">
        <f>IF(ROW()-ROW(Табл1[[#Headers],[Период (№месяца)]])&gt;$B$9,0,ROW()-ROW(Табл1[[#Headers],[Период (№месяца)]]))</f>
        <v>5</v>
      </c>
      <c r="B27" s="6">
        <f>$B$5+SUM($D$22:D26)</f>
        <v>96590.940499365752</v>
      </c>
      <c r="C27" s="6">
        <f t="shared" si="0"/>
        <v>-2999.9999999999982</v>
      </c>
      <c r="D27" s="6">
        <f t="shared" si="1"/>
        <v>-899.10619836816466</v>
      </c>
      <c r="E27" s="6">
        <f t="shared" si="2"/>
        <v>-2100.8938016318339</v>
      </c>
      <c r="F27" s="6">
        <f>SUM($D$23:D27)</f>
        <v>-4308.1656990024139</v>
      </c>
      <c r="G27" s="6">
        <f>Табл1[[#This Row],[Тело кредита на начало периода]]+Табл1[[#This Row],[Тело кредита]]</f>
        <v>95691.834300997594</v>
      </c>
      <c r="H27" s="19">
        <f>PV($B$13,$B$9-Табл1[[#This Row],[Период (№месяца)]]+1,$B$11,$B$6,$B$10)/IF(Табл1[[#This Row],[Период (№месяца)]]=1,1,1+$B$10*$B$13)</f>
        <v>96590.940499365766</v>
      </c>
      <c r="I27" s="6">
        <f>-FV($B$13,Табл1[[#This Row],[Период (№месяца)]],$B$11,$B$5,$B$10)/(1+$B$10*$B$13)</f>
        <v>95691.83430099758</v>
      </c>
      <c r="J27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96590.940499365795</v>
      </c>
      <c r="K27" s="6">
        <f>-($B$11*(1+$B$13*$B$10)*(1-(1+$B$13)^Табл1[[#This Row],[Период (№месяца)]])/$B$13-$B$5*((1+$B$13)^Табл1[[#This Row],[Период (№месяца)]]))/(1+$B$10*$B$13)</f>
        <v>95691.83430099758</v>
      </c>
      <c r="M27" s="20"/>
      <c r="N27" s="20"/>
      <c r="O27" s="20"/>
    </row>
    <row r="28" spans="1:15" x14ac:dyDescent="0.25">
      <c r="A28" s="5">
        <f>IF(ROW()-ROW(Табл1[[#Headers],[Период (№месяца)]])&gt;$B$9,0,ROW()-ROW(Табл1[[#Headers],[Период (№месяца)]]))</f>
        <v>6</v>
      </c>
      <c r="B28" s="6">
        <f>$B$5+SUM($D$22:D27)</f>
        <v>95691.83430099758</v>
      </c>
      <c r="C28" s="6">
        <f t="shared" si="0"/>
        <v>-2999.9999999999982</v>
      </c>
      <c r="D28" s="6">
        <f t="shared" si="1"/>
        <v>-918.66213839105808</v>
      </c>
      <c r="E28" s="6">
        <f t="shared" si="2"/>
        <v>-2081.3378616089399</v>
      </c>
      <c r="F28" s="6">
        <f>SUM($D$23:D28)</f>
        <v>-5226.8278373934718</v>
      </c>
      <c r="G28" s="6">
        <f>Табл1[[#This Row],[Тело кредита на начало периода]]+Табл1[[#This Row],[Тело кредита]]</f>
        <v>94773.172162606526</v>
      </c>
      <c r="H28" s="19">
        <f>PV($B$13,$B$9-Табл1[[#This Row],[Период (№месяца)]]+1,$B$11,$B$6,$B$10)/IF(Табл1[[#This Row],[Период (№месяца)]]=1,1,1+$B$10*$B$13)</f>
        <v>95691.834300997609</v>
      </c>
      <c r="I28" s="6">
        <f>-FV($B$13,Табл1[[#This Row],[Период (№месяца)]],$B$11,$B$5,$B$10)/(1+$B$10*$B$13)</f>
        <v>94773.172162606526</v>
      </c>
      <c r="J28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95691.834300997623</v>
      </c>
      <c r="K28" s="6">
        <f>-($B$11*(1+$B$13*$B$10)*(1-(1+$B$13)^Табл1[[#This Row],[Период (№месяца)]])/$B$13-$B$5*((1+$B$13)^Табл1[[#This Row],[Период (№месяца)]]))/(1+$B$10*$B$13)</f>
        <v>94773.172162606526</v>
      </c>
      <c r="M28" s="20"/>
      <c r="N28" s="20"/>
      <c r="O28" s="20"/>
    </row>
    <row r="29" spans="1:15" x14ac:dyDescent="0.25">
      <c r="A29" s="5">
        <f>IF(ROW()-ROW(Табл1[[#Headers],[Период (№месяца)]])&gt;$B$9,0,ROW()-ROW(Табл1[[#Headers],[Период (№месяца)]]))</f>
        <v>7</v>
      </c>
      <c r="B29" s="6">
        <f>$B$5+SUM($D$22:D28)</f>
        <v>94773.172162606526</v>
      </c>
      <c r="C29" s="6">
        <f t="shared" si="0"/>
        <v>-2999.9999999999982</v>
      </c>
      <c r="D29" s="6">
        <f t="shared" si="1"/>
        <v>-938.64342837914228</v>
      </c>
      <c r="E29" s="6">
        <f t="shared" si="2"/>
        <v>-2061.3565716208564</v>
      </c>
      <c r="F29" s="6">
        <f>SUM($D$23:D29)</f>
        <v>-6165.4712657726141</v>
      </c>
      <c r="G29" s="6">
        <f>Табл1[[#This Row],[Тело кредита на начало периода]]+Табл1[[#This Row],[Тело кредита]]</f>
        <v>93834.52873422738</v>
      </c>
      <c r="H29" s="19">
        <f>PV($B$13,$B$9-Табл1[[#This Row],[Период (№месяца)]]+1,$B$11,$B$6,$B$10)/IF(Табл1[[#This Row],[Период (№месяца)]]=1,1,1+$B$10*$B$13)</f>
        <v>94773.172162606556</v>
      </c>
      <c r="I29" s="6">
        <f>-FV($B$13,Табл1[[#This Row],[Период (№месяца)]],$B$11,$B$5,$B$10)/(1+$B$10*$B$13)</f>
        <v>93834.52873422738</v>
      </c>
      <c r="J29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94773.172162606556</v>
      </c>
      <c r="K29" s="6">
        <f>-($B$11*(1+$B$13*$B$10)*(1-(1+$B$13)^Табл1[[#This Row],[Период (№месяца)]])/$B$13-$B$5*((1+$B$13)^Табл1[[#This Row],[Период (№месяца)]]))/(1+$B$10*$B$13)</f>
        <v>93834.52873422738</v>
      </c>
      <c r="M29" s="20"/>
      <c r="N29" s="20"/>
      <c r="O29" s="20"/>
    </row>
    <row r="30" spans="1:15" x14ac:dyDescent="0.25">
      <c r="A30" s="5">
        <f>IF(ROW()-ROW(Табл1[[#Headers],[Период (№месяца)]])&gt;$B$9,0,ROW()-ROW(Табл1[[#Headers],[Период (№месяца)]]))</f>
        <v>8</v>
      </c>
      <c r="B30" s="6">
        <f>$B$5+SUM($D$22:D29)</f>
        <v>93834.52873422738</v>
      </c>
      <c r="C30" s="6">
        <f t="shared" si="0"/>
        <v>-2999.9999999999982</v>
      </c>
      <c r="D30" s="6">
        <f t="shared" si="1"/>
        <v>-959.05931987402982</v>
      </c>
      <c r="E30" s="6">
        <f t="shared" si="2"/>
        <v>-2040.9406801259684</v>
      </c>
      <c r="F30" s="6">
        <f>SUM($D$23:D30)</f>
        <v>-7124.5305856466439</v>
      </c>
      <c r="G30" s="6">
        <f>Табл1[[#This Row],[Тело кредита на начало периода]]+Табл1[[#This Row],[Тело кредита]]</f>
        <v>92875.469414353356</v>
      </c>
      <c r="H30" s="19">
        <f>PV($B$13,$B$9-Табл1[[#This Row],[Период (№месяца)]]+1,$B$11,$B$6,$B$10)/IF(Табл1[[#This Row],[Период (№месяца)]]=1,1,1+$B$10*$B$13)</f>
        <v>93834.52873422741</v>
      </c>
      <c r="I30" s="6">
        <f>-FV($B$13,Табл1[[#This Row],[Период (№месяца)]],$B$11,$B$5,$B$10)/(1+$B$10*$B$13)</f>
        <v>92875.469414353356</v>
      </c>
      <c r="J30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93834.528734227395</v>
      </c>
      <c r="K30" s="6">
        <f>-($B$11*(1+$B$13*$B$10)*(1-(1+$B$13)^Табл1[[#This Row],[Период (№месяца)]])/$B$13-$B$5*((1+$B$13)^Табл1[[#This Row],[Период (№месяца)]]))/(1+$B$10*$B$13)</f>
        <v>92875.469414353342</v>
      </c>
      <c r="M30" s="20"/>
      <c r="N30" s="20"/>
      <c r="O30" s="20"/>
    </row>
    <row r="31" spans="1:15" x14ac:dyDescent="0.25">
      <c r="A31" s="5">
        <f>IF(ROW()-ROW(Табл1[[#Headers],[Период (№месяца)]])&gt;$B$9,0,ROW()-ROW(Табл1[[#Headers],[Период (№месяца)]]))</f>
        <v>9</v>
      </c>
      <c r="B31" s="6">
        <f>$B$5+SUM($D$22:D30)</f>
        <v>92875.469414353356</v>
      </c>
      <c r="C31" s="6">
        <f t="shared" si="0"/>
        <v>-2999.9999999999982</v>
      </c>
      <c r="D31" s="6">
        <f t="shared" si="1"/>
        <v>-979.91926564227526</v>
      </c>
      <c r="E31" s="6">
        <f t="shared" si="2"/>
        <v>-2020.080734357723</v>
      </c>
      <c r="F31" s="6">
        <f>SUM($D$23:D31)</f>
        <v>-8104.4498512889195</v>
      </c>
      <c r="G31" s="6">
        <f>Табл1[[#This Row],[Тело кредита на начало периода]]+Табл1[[#This Row],[Тело кредита]]</f>
        <v>91895.550148711074</v>
      </c>
      <c r="H31" s="19">
        <f>PV($B$13,$B$9-Табл1[[#This Row],[Период (№месяца)]]+1,$B$11,$B$6,$B$10)/IF(Табл1[[#This Row],[Период (№месяца)]]=1,1,1+$B$10*$B$13)</f>
        <v>92875.469414353385</v>
      </c>
      <c r="I31" s="6">
        <f>-FV($B$13,Табл1[[#This Row],[Период (№месяца)]],$B$11,$B$5,$B$10)/(1+$B$10*$B$13)</f>
        <v>91895.550148711074</v>
      </c>
      <c r="J31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92875.469414353385</v>
      </c>
      <c r="K31" s="6">
        <f>-($B$11*(1+$B$13*$B$10)*(1-(1+$B$13)^Табл1[[#This Row],[Период (№месяца)]])/$B$13-$B$5*((1+$B$13)^Табл1[[#This Row],[Период (№месяца)]]))/(1+$B$10*$B$13)</f>
        <v>91895.550148711074</v>
      </c>
      <c r="M31" s="20"/>
      <c r="N31" s="20"/>
      <c r="O31" s="20"/>
    </row>
    <row r="32" spans="1:15" x14ac:dyDescent="0.25">
      <c r="A32" s="5">
        <f>IF(ROW()-ROW(Табл1[[#Headers],[Период (№месяца)]])&gt;$B$9,0,ROW()-ROW(Табл1[[#Headers],[Период (№месяца)]]))</f>
        <v>10</v>
      </c>
      <c r="B32" s="6">
        <f>$B$5+SUM($D$22:D31)</f>
        <v>91895.550148711074</v>
      </c>
      <c r="C32" s="6">
        <f t="shared" si="0"/>
        <v>-2999.9999999999982</v>
      </c>
      <c r="D32" s="6">
        <f t="shared" si="1"/>
        <v>-1001.2329240521029</v>
      </c>
      <c r="E32" s="6">
        <f t="shared" si="2"/>
        <v>-1998.7670759478954</v>
      </c>
      <c r="F32" s="6">
        <f>SUM($D$23:D32)</f>
        <v>-9105.6827753410216</v>
      </c>
      <c r="G32" s="6">
        <f>Табл1[[#This Row],[Тело кредита на начало периода]]+Табл1[[#This Row],[Тело кредита]]</f>
        <v>90894.317224658967</v>
      </c>
      <c r="H32" s="19">
        <f>PV($B$13,$B$9-Табл1[[#This Row],[Период (№месяца)]]+1,$B$11,$B$6,$B$10)/IF(Табл1[[#This Row],[Период (№месяца)]]=1,1,1+$B$10*$B$13)</f>
        <v>91895.550148711103</v>
      </c>
      <c r="I32" s="6">
        <f>-FV($B$13,Табл1[[#This Row],[Период (№месяца)]],$B$11,$B$5,$B$10)/(1+$B$10*$B$13)</f>
        <v>90894.317224658967</v>
      </c>
      <c r="J32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91895.550148711118</v>
      </c>
      <c r="K32" s="6">
        <f>-($B$11*(1+$B$13*$B$10)*(1-(1+$B$13)^Табл1[[#This Row],[Период (№месяца)]])/$B$13-$B$5*((1+$B$13)^Табл1[[#This Row],[Период (№месяца)]]))/(1+$B$10*$B$13)</f>
        <v>90894.317224658967</v>
      </c>
      <c r="M32" s="20"/>
      <c r="N32" s="20"/>
    </row>
    <row r="33" spans="1:21" x14ac:dyDescent="0.25">
      <c r="A33" s="5">
        <f>IF(ROW()-ROW(Табл1[[#Headers],[Период (№месяца)]])&gt;$B$9,0,ROW()-ROW(Табл1[[#Headers],[Период (№месяца)]]))</f>
        <v>11</v>
      </c>
      <c r="B33" s="6">
        <f>$B$5+SUM($D$22:D32)</f>
        <v>90894.317224658982</v>
      </c>
      <c r="C33" s="6">
        <f t="shared" si="0"/>
        <v>-2999.9999999999982</v>
      </c>
      <c r="D33" s="6">
        <f t="shared" si="1"/>
        <v>-1023.0101635453306</v>
      </c>
      <c r="E33" s="6">
        <f t="shared" si="2"/>
        <v>-1976.9898364546677</v>
      </c>
      <c r="F33" s="6">
        <f>SUM($D$23:D33)</f>
        <v>-10128.692938886352</v>
      </c>
      <c r="G33" s="6">
        <f>Табл1[[#This Row],[Тело кредита на начало периода]]+Табл1[[#This Row],[Тело кредита]]</f>
        <v>89871.30706111365</v>
      </c>
      <c r="H33" s="19">
        <f>PV($B$13,$B$9-Табл1[[#This Row],[Период (№месяца)]]+1,$B$11,$B$6,$B$10)/IF(Табл1[[#This Row],[Период (№месяца)]]=1,1,1+$B$10*$B$13)</f>
        <v>90894.317224658997</v>
      </c>
      <c r="I33" s="6">
        <f>-FV($B$13,Табл1[[#This Row],[Период (№месяца)]],$B$11,$B$5,$B$10)/(1+$B$10*$B$13)</f>
        <v>89871.307061113621</v>
      </c>
      <c r="J33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90894.317224659011</v>
      </c>
      <c r="K33" s="6">
        <f>-($B$11*(1+$B$13*$B$10)*(1-(1+$B$13)^Табл1[[#This Row],[Период (№месяца)]])/$B$13-$B$5*((1+$B$13)^Табл1[[#This Row],[Период (№месяца)]]))/(1+$B$10*$B$13)</f>
        <v>89871.307061113621</v>
      </c>
      <c r="M33" s="20"/>
      <c r="N33" s="20"/>
    </row>
    <row r="34" spans="1:21" x14ac:dyDescent="0.25">
      <c r="A34" s="5">
        <f>IF(ROW()-ROW(Табл1[[#Headers],[Период (№месяца)]])&gt;$B$9,0,ROW()-ROW(Табл1[[#Headers],[Период (№месяца)]]))</f>
        <v>12</v>
      </c>
      <c r="B34" s="6">
        <f>$B$5+SUM($D$22:D33)</f>
        <v>89871.30706111365</v>
      </c>
      <c r="C34" s="6">
        <f t="shared" si="0"/>
        <v>-2999.9999999999982</v>
      </c>
      <c r="D34" s="6">
        <f t="shared" si="1"/>
        <v>-1045.2610672065578</v>
      </c>
      <c r="E34" s="6">
        <f t="shared" si="2"/>
        <v>-1954.7389327934404</v>
      </c>
      <c r="F34" s="6">
        <f>SUM($D$23:D34)</f>
        <v>-11173.95400609291</v>
      </c>
      <c r="G34" s="6">
        <f>Табл1[[#This Row],[Тело кредита на начало периода]]+Табл1[[#This Row],[Тело кредита]]</f>
        <v>88826.045993907086</v>
      </c>
      <c r="H34" s="19">
        <f>PV($B$13,$B$9-Табл1[[#This Row],[Период (№месяца)]]+1,$B$11,$B$6,$B$10)/IF(Табл1[[#This Row],[Период (№месяца)]]=1,1,1+$B$10*$B$13)</f>
        <v>89871.30706111365</v>
      </c>
      <c r="I34" s="6">
        <f>-FV($B$13,Табл1[[#This Row],[Период (№месяца)]],$B$11,$B$5,$B$10)/(1+$B$10*$B$13)</f>
        <v>88826.045993907072</v>
      </c>
      <c r="J34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89871.307061113665</v>
      </c>
      <c r="K34" s="6">
        <f>-($B$11*(1+$B$13*$B$10)*(1-(1+$B$13)^Табл1[[#This Row],[Период (№месяца)]])/$B$13-$B$5*((1+$B$13)^Табл1[[#This Row],[Период (№месяца)]]))/(1+$B$10*$B$13)</f>
        <v>88826.045993907072</v>
      </c>
      <c r="M34" s="20"/>
      <c r="N34" s="20"/>
    </row>
    <row r="35" spans="1:21" x14ac:dyDescent="0.25">
      <c r="A35" s="5">
        <f>IF(ROW()-ROW(Табл1[[#Headers],[Период (№месяца)]])&gt;$B$9,0,ROW()-ROW(Табл1[[#Headers],[Период (№месяца)]]))</f>
        <v>13</v>
      </c>
      <c r="B35" s="6">
        <f>$B$5+SUM($D$22:D34)</f>
        <v>88826.045993907086</v>
      </c>
      <c r="C35" s="6">
        <f t="shared" si="0"/>
        <v>-2999.9999999999982</v>
      </c>
      <c r="D35" s="6">
        <f t="shared" si="1"/>
        <v>-1067.99593743174</v>
      </c>
      <c r="E35" s="6">
        <f t="shared" si="2"/>
        <v>-1932.0040625682586</v>
      </c>
      <c r="F35" s="6">
        <f>SUM($D$23:D35)</f>
        <v>-12241.949943524651</v>
      </c>
      <c r="G35" s="6">
        <f>Табл1[[#This Row],[Тело кредита на начало периода]]+Табл1[[#This Row],[Тело кредита]]</f>
        <v>87758.050056475346</v>
      </c>
      <c r="H35" s="19">
        <f>PV($B$13,$B$9-Табл1[[#This Row],[Период (№месяца)]]+1,$B$11,$B$6,$B$10)/IF(Табл1[[#This Row],[Период (№месяца)]]=1,1,1+$B$10*$B$13)</f>
        <v>88826.045993907101</v>
      </c>
      <c r="I35" s="6">
        <f>-FV($B$13,Табл1[[#This Row],[Период (№месяца)]],$B$11,$B$5,$B$10)/(1+$B$10*$B$13)</f>
        <v>87758.050056475331</v>
      </c>
      <c r="J35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88826.045993907101</v>
      </c>
      <c r="K35" s="6">
        <f>-($B$11*(1+$B$13*$B$10)*(1-(1+$B$13)^Табл1[[#This Row],[Период (№месяца)]])/$B$13-$B$5*((1+$B$13)^Табл1[[#This Row],[Период (№месяца)]]))/(1+$B$10*$B$13)</f>
        <v>87758.050056475331</v>
      </c>
      <c r="M35" s="20"/>
      <c r="N35" s="20"/>
      <c r="O35" s="6"/>
      <c r="P35" s="6"/>
      <c r="Q35" s="6"/>
      <c r="R35" s="6"/>
      <c r="S35" s="6"/>
      <c r="T35" s="6"/>
      <c r="U35" s="6"/>
    </row>
    <row r="36" spans="1:21" x14ac:dyDescent="0.25">
      <c r="A36" s="5">
        <f>IF(ROW()-ROW(Табл1[[#Headers],[Период (№месяца)]])&gt;$B$9,0,ROW()-ROW(Табл1[[#Headers],[Период (№месяца)]]))</f>
        <v>14</v>
      </c>
      <c r="B36" s="6">
        <f>$B$5+SUM($D$22:D35)</f>
        <v>87758.050056475346</v>
      </c>
      <c r="C36" s="6">
        <f t="shared" si="0"/>
        <v>-2999.9999999999982</v>
      </c>
      <c r="D36" s="6">
        <f t="shared" si="1"/>
        <v>-1091.2253006982985</v>
      </c>
      <c r="E36" s="6">
        <f t="shared" si="2"/>
        <v>-1908.7746993016999</v>
      </c>
      <c r="F36" s="6">
        <f>SUM($D$23:D36)</f>
        <v>-13333.17524422295</v>
      </c>
      <c r="G36" s="6">
        <f>Табл1[[#This Row],[Тело кредита на начало периода]]+Табл1[[#This Row],[Тело кредита]]</f>
        <v>86666.824755777052</v>
      </c>
      <c r="H36" s="19">
        <f>PV($B$13,$B$9-Табл1[[#This Row],[Период (№месяца)]]+1,$B$11,$B$6,$B$10)/IF(Табл1[[#This Row],[Период (№месяца)]]=1,1,1+$B$10*$B$13)</f>
        <v>87758.050056475375</v>
      </c>
      <c r="I36" s="6">
        <f>-FV($B$13,Табл1[[#This Row],[Период (№месяца)]],$B$11,$B$5,$B$10)/(1+$B$10*$B$13)</f>
        <v>86666.824755777023</v>
      </c>
      <c r="J36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87758.050056475375</v>
      </c>
      <c r="K36" s="6">
        <f>-($B$11*(1+$B$13*$B$10)*(1-(1+$B$13)^Табл1[[#This Row],[Период (№месяца)]])/$B$13-$B$5*((1+$B$13)^Табл1[[#This Row],[Период (№месяца)]]))/(1+$B$10*$B$13)</f>
        <v>86666.824755777023</v>
      </c>
      <c r="M36" s="20"/>
      <c r="N36" s="20"/>
    </row>
    <row r="37" spans="1:21" x14ac:dyDescent="0.25">
      <c r="A37" s="5">
        <f>IF(ROW()-ROW(Табл1[[#Headers],[Период (№месяца)]])&gt;$B$9,0,ROW()-ROW(Табл1[[#Headers],[Период (№месяца)]]))</f>
        <v>15</v>
      </c>
      <c r="B37" s="6">
        <f>$B$5+SUM($D$22:D36)</f>
        <v>86666.824755777052</v>
      </c>
      <c r="C37" s="6">
        <f t="shared" si="0"/>
        <v>-2999.9999999999982</v>
      </c>
      <c r="D37" s="6">
        <f t="shared" si="1"/>
        <v>-1114.9599124389922</v>
      </c>
      <c r="E37" s="6">
        <f t="shared" si="2"/>
        <v>-1885.0400875610064</v>
      </c>
      <c r="F37" s="6">
        <f>SUM($D$23:D37)</f>
        <v>-14448.135156661941</v>
      </c>
      <c r="G37" s="6">
        <f>Табл1[[#This Row],[Тело кредита на начало периода]]+Табл1[[#This Row],[Тело кредита]]</f>
        <v>85551.864843338059</v>
      </c>
      <c r="H37" s="19">
        <f>PV($B$13,$B$9-Табл1[[#This Row],[Период (№месяца)]]+1,$B$11,$B$6,$B$10)/IF(Табл1[[#This Row],[Период (№месяца)]]=1,1,1+$B$10*$B$13)</f>
        <v>86666.824755777066</v>
      </c>
      <c r="I37" s="6">
        <f>-FV($B$13,Табл1[[#This Row],[Период (№месяца)]],$B$11,$B$5,$B$10)/(1+$B$10*$B$13)</f>
        <v>85551.864843338044</v>
      </c>
      <c r="J37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86666.824755777066</v>
      </c>
      <c r="K37" s="6">
        <f>-($B$11*(1+$B$13*$B$10)*(1-(1+$B$13)^Табл1[[#This Row],[Период (№месяца)]])/$B$13-$B$5*((1+$B$13)^Табл1[[#This Row],[Период (№месяца)]]))/(1+$B$10*$B$13)</f>
        <v>85551.864843338044</v>
      </c>
      <c r="M37" s="20"/>
      <c r="N37" s="20"/>
    </row>
    <row r="38" spans="1:21" x14ac:dyDescent="0.25">
      <c r="A38" s="5">
        <f>IF(ROW()-ROW(Табл1[[#Headers],[Период (№месяца)]])&gt;$B$9,0,ROW()-ROW(Табл1[[#Headers],[Период (№месяца)]]))</f>
        <v>16</v>
      </c>
      <c r="B38" s="6">
        <f>$B$5+SUM($D$22:D37)</f>
        <v>85551.864843338059</v>
      </c>
      <c r="C38" s="6">
        <f t="shared" si="0"/>
        <v>-2999.9999999999982</v>
      </c>
      <c r="D38" s="6">
        <f t="shared" si="1"/>
        <v>-1139.2107620217896</v>
      </c>
      <c r="E38" s="6">
        <f t="shared" si="2"/>
        <v>-1860.789237978209</v>
      </c>
      <c r="F38" s="6">
        <f>SUM($D$23:D38)</f>
        <v>-15587.345918683732</v>
      </c>
      <c r="G38" s="6">
        <f>Табл1[[#This Row],[Тело кредита на начало периода]]+Табл1[[#This Row],[Тело кредита]]</f>
        <v>84412.654081316272</v>
      </c>
      <c r="H38" s="19">
        <f>PV($B$13,$B$9-Табл1[[#This Row],[Период (№месяца)]]+1,$B$11,$B$6,$B$10)/IF(Табл1[[#This Row],[Период (№месяца)]]=1,1,1+$B$10*$B$13)</f>
        <v>85551.864843338073</v>
      </c>
      <c r="I38" s="6">
        <f>-FV($B$13,Табл1[[#This Row],[Период (№месяца)]],$B$11,$B$5,$B$10)/(1+$B$10*$B$13)</f>
        <v>84412.654081316257</v>
      </c>
      <c r="J38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85551.864843338073</v>
      </c>
      <c r="K38" s="6">
        <f>-($B$11*(1+$B$13*$B$10)*(1-(1+$B$13)^Табл1[[#This Row],[Период (№месяца)]])/$B$13-$B$5*((1+$B$13)^Табл1[[#This Row],[Период (№месяца)]]))/(1+$B$10*$B$13)</f>
        <v>84412.654081316243</v>
      </c>
      <c r="M38" s="20"/>
      <c r="N38" s="20"/>
    </row>
    <row r="39" spans="1:21" x14ac:dyDescent="0.25">
      <c r="A39" s="5">
        <f>IF(ROW()-ROW(Табл1[[#Headers],[Период (№месяца)]])&gt;$B$9,0,ROW()-ROW(Табл1[[#Headers],[Период (№месяца)]]))</f>
        <v>17</v>
      </c>
      <c r="B39" s="6">
        <f>$B$5+SUM($D$22:D38)</f>
        <v>84412.654081316272</v>
      </c>
      <c r="C39" s="6">
        <f t="shared" si="0"/>
        <v>-2999.9999999999982</v>
      </c>
      <c r="D39" s="6">
        <f t="shared" si="1"/>
        <v>-1163.9890778380598</v>
      </c>
      <c r="E39" s="6">
        <f t="shared" si="2"/>
        <v>-1836.0109221619384</v>
      </c>
      <c r="F39" s="6">
        <f>SUM($D$23:D39)</f>
        <v>-16751.334996521793</v>
      </c>
      <c r="G39" s="6">
        <f>Табл1[[#This Row],[Тело кредита на начало периода]]+Табл1[[#This Row],[Тело кредита]]</f>
        <v>83248.665003478207</v>
      </c>
      <c r="H39" s="19">
        <f>PV($B$13,$B$9-Табл1[[#This Row],[Период (№месяца)]]+1,$B$11,$B$6,$B$10)/IF(Табл1[[#This Row],[Период (№месяца)]]=1,1,1+$B$10*$B$13)</f>
        <v>84412.654081316286</v>
      </c>
      <c r="I39" s="6">
        <f>-FV($B$13,Табл1[[#This Row],[Период (№месяца)]],$B$11,$B$5,$B$10)/(1+$B$10*$B$13)</f>
        <v>83248.665003478192</v>
      </c>
      <c r="J39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84412.654081316301</v>
      </c>
      <c r="K39" s="6">
        <f>-($B$11*(1+$B$13*$B$10)*(1-(1+$B$13)^Табл1[[#This Row],[Период (№месяца)]])/$B$13-$B$5*((1+$B$13)^Табл1[[#This Row],[Период (№месяца)]]))/(1+$B$10*$B$13)</f>
        <v>83248.665003478192</v>
      </c>
      <c r="M39" s="20"/>
      <c r="N39" s="20"/>
    </row>
    <row r="40" spans="1:21" x14ac:dyDescent="0.25">
      <c r="A40" s="5">
        <f>IF(ROW()-ROW(Табл1[[#Headers],[Период (№месяца)]])&gt;$B$9,0,ROW()-ROW(Табл1[[#Headers],[Период (№месяца)]]))</f>
        <v>18</v>
      </c>
      <c r="B40" s="6">
        <f>$B$5+SUM($D$22:D39)</f>
        <v>83248.665003478207</v>
      </c>
      <c r="C40" s="6">
        <f t="shared" si="0"/>
        <v>-2999.9999999999982</v>
      </c>
      <c r="D40" s="6">
        <f t="shared" si="1"/>
        <v>-1189.3063325014327</v>
      </c>
      <c r="E40" s="6">
        <f t="shared" si="2"/>
        <v>-1810.6936674985654</v>
      </c>
      <c r="F40" s="6">
        <f>SUM($D$23:D40)</f>
        <v>-17940.641329023227</v>
      </c>
      <c r="G40" s="6">
        <f>Табл1[[#This Row],[Тело кредита на начало периода]]+Табл1[[#This Row],[Тело кредита]]</f>
        <v>82059.35867097677</v>
      </c>
      <c r="H40" s="19">
        <f>PV($B$13,$B$9-Табл1[[#This Row],[Период (№месяца)]]+1,$B$11,$B$6,$B$10)/IF(Табл1[[#This Row],[Период (№месяца)]]=1,1,1+$B$10*$B$13)</f>
        <v>83248.665003478236</v>
      </c>
      <c r="I40" s="6">
        <f>-FV($B$13,Табл1[[#This Row],[Период (№месяца)]],$B$11,$B$5,$B$10)/(1+$B$10*$B$13)</f>
        <v>82059.358670976741</v>
      </c>
      <c r="J40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83248.665003478251</v>
      </c>
      <c r="K40" s="6">
        <f>-($B$11*(1+$B$13*$B$10)*(1-(1+$B$13)^Табл1[[#This Row],[Период (№месяца)]])/$B$13-$B$5*((1+$B$13)^Табл1[[#This Row],[Период (№месяца)]]))/(1+$B$10*$B$13)</f>
        <v>82059.358670976741</v>
      </c>
      <c r="M40" s="20"/>
      <c r="N40" s="20"/>
    </row>
    <row r="41" spans="1:21" x14ac:dyDescent="0.25">
      <c r="A41" s="5">
        <f>IF(ROW()-ROW(Табл1[[#Headers],[Период (№месяца)]])&gt;$B$9,0,ROW()-ROW(Табл1[[#Headers],[Период (№месяца)]]))</f>
        <v>19</v>
      </c>
      <c r="B41" s="6">
        <f>$B$5+SUM($D$22:D40)</f>
        <v>82059.35867097677</v>
      </c>
      <c r="C41" s="6">
        <f t="shared" si="0"/>
        <v>-2999.9999999999982</v>
      </c>
      <c r="D41" s="6">
        <f t="shared" si="1"/>
        <v>-1215.1742481597357</v>
      </c>
      <c r="E41" s="6">
        <f t="shared" si="2"/>
        <v>-1784.8257518402627</v>
      </c>
      <c r="F41" s="6">
        <f>SUM($D$23:D41)</f>
        <v>-19155.815577182962</v>
      </c>
      <c r="G41" s="6">
        <f>Табл1[[#This Row],[Тело кредита на начало периода]]+Табл1[[#This Row],[Тело кредита]]</f>
        <v>80844.184422817038</v>
      </c>
      <c r="H41" s="19">
        <f>PV($B$13,$B$9-Табл1[[#This Row],[Период (№месяца)]]+1,$B$11,$B$6,$B$10)/IF(Табл1[[#This Row],[Период (№месяца)]]=1,1,1+$B$10*$B$13)</f>
        <v>82059.358670976799</v>
      </c>
      <c r="I41" s="6">
        <f>-FV($B$13,Табл1[[#This Row],[Период (№месяца)]],$B$11,$B$5,$B$10)/(1+$B$10*$B$13)</f>
        <v>80844.184422817023</v>
      </c>
      <c r="J41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82059.358670976799</v>
      </c>
      <c r="K41" s="6">
        <f>-($B$11*(1+$B$13*$B$10)*(1-(1+$B$13)^Табл1[[#This Row],[Период (№месяца)]])/$B$13-$B$5*((1+$B$13)^Табл1[[#This Row],[Период (№месяца)]]))/(1+$B$10*$B$13)</f>
        <v>80844.184422817023</v>
      </c>
      <c r="M41" s="20"/>
      <c r="N41" s="20"/>
    </row>
    <row r="42" spans="1:21" x14ac:dyDescent="0.25">
      <c r="A42" s="5">
        <f>IF(ROW()-ROW(Табл1[[#Headers],[Период (№месяца)]])&gt;$B$9,0,ROW()-ROW(Табл1[[#Headers],[Период (№месяца)]]))</f>
        <v>20</v>
      </c>
      <c r="B42" s="6">
        <f>$B$5+SUM($D$22:D41)</f>
        <v>80844.184422817038</v>
      </c>
      <c r="C42" s="6">
        <f t="shared" si="0"/>
        <v>-2999.9999999999982</v>
      </c>
      <c r="D42" s="6">
        <f t="shared" si="1"/>
        <v>-1241.6048019224684</v>
      </c>
      <c r="E42" s="6">
        <f t="shared" si="2"/>
        <v>-1758.39519807753</v>
      </c>
      <c r="F42" s="6">
        <f>SUM($D$23:D42)</f>
        <v>-20397.420379105431</v>
      </c>
      <c r="G42" s="6">
        <f>Табл1[[#This Row],[Тело кредита на начало периода]]+Табл1[[#This Row],[Тело кредита]]</f>
        <v>79602.579620894569</v>
      </c>
      <c r="H42" s="19">
        <f>PV($B$13,$B$9-Табл1[[#This Row],[Период (№месяца)]]+1,$B$11,$B$6,$B$10)/IF(Табл1[[#This Row],[Период (№месяца)]]=1,1,1+$B$10*$B$13)</f>
        <v>80844.184422817038</v>
      </c>
      <c r="I42" s="6">
        <f>-FV($B$13,Табл1[[#This Row],[Период (№месяца)]],$B$11,$B$5,$B$10)/(1+$B$10*$B$13)</f>
        <v>79602.579620894539</v>
      </c>
      <c r="J42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80844.184422817052</v>
      </c>
      <c r="K42" s="6">
        <f>-($B$11*(1+$B$13*$B$10)*(1-(1+$B$13)^Табл1[[#This Row],[Период (№месяца)]])/$B$13-$B$5*((1+$B$13)^Табл1[[#This Row],[Период (№месяца)]]))/(1+$B$10*$B$13)</f>
        <v>79602.579620894539</v>
      </c>
      <c r="M42" s="20"/>
      <c r="N42" s="20"/>
    </row>
    <row r="43" spans="1:21" x14ac:dyDescent="0.25">
      <c r="A43" s="5">
        <f>IF(ROW()-ROW(Табл1[[#Headers],[Период (№месяца)]])&gt;$B$9,0,ROW()-ROW(Табл1[[#Headers],[Период (№месяца)]]))</f>
        <v>21</v>
      </c>
      <c r="B43" s="6">
        <f>$B$5+SUM($D$22:D42)</f>
        <v>79602.579620894569</v>
      </c>
      <c r="C43" s="6">
        <f t="shared" si="0"/>
        <v>-2999.9999999999982</v>
      </c>
      <c r="D43" s="6">
        <f t="shared" si="1"/>
        <v>-1268.6102314063273</v>
      </c>
      <c r="E43" s="6">
        <f t="shared" si="2"/>
        <v>-1731.3897685936711</v>
      </c>
      <c r="F43" s="6">
        <f>SUM($D$23:D43)</f>
        <v>-21666.03061051176</v>
      </c>
      <c r="G43" s="6">
        <f>Табл1[[#This Row],[Тело кредита на начало периода]]+Табл1[[#This Row],[Тело кредита]]</f>
        <v>78333.969389488237</v>
      </c>
      <c r="H43" s="19">
        <f>PV($B$13,$B$9-Табл1[[#This Row],[Период (№месяца)]]+1,$B$11,$B$6,$B$10)/IF(Табл1[[#This Row],[Период (№месяца)]]=1,1,1+$B$10*$B$13)</f>
        <v>79602.579620894583</v>
      </c>
      <c r="I43" s="6">
        <f>-FV($B$13,Табл1[[#This Row],[Период (№месяца)]],$B$11,$B$5,$B$10)/(1+$B$10*$B$13)</f>
        <v>78333.969389488208</v>
      </c>
      <c r="J43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79602.579620894598</v>
      </c>
      <c r="K43" s="6">
        <f>-($B$11*(1+$B$13*$B$10)*(1-(1+$B$13)^Табл1[[#This Row],[Период (№месяца)]])/$B$13-$B$5*((1+$B$13)^Табл1[[#This Row],[Период (№месяца)]]))/(1+$B$10*$B$13)</f>
        <v>78333.969389488208</v>
      </c>
      <c r="M43" s="20"/>
      <c r="N43" s="20"/>
    </row>
    <row r="44" spans="1:21" x14ac:dyDescent="0.25">
      <c r="A44" s="5">
        <f>IF(ROW()-ROW(Табл1[[#Headers],[Период (№месяца)]])&gt;$B$9,0,ROW()-ROW(Табл1[[#Headers],[Период (№месяца)]]))</f>
        <v>22</v>
      </c>
      <c r="B44" s="6">
        <f>$B$5+SUM($D$22:D43)</f>
        <v>78333.969389488237</v>
      </c>
      <c r="C44" s="6">
        <f t="shared" si="0"/>
        <v>-2999.9999999999982</v>
      </c>
      <c r="D44" s="6">
        <f t="shared" si="1"/>
        <v>-1296.2030404013465</v>
      </c>
      <c r="E44" s="6">
        <f t="shared" si="2"/>
        <v>-1703.7969595986519</v>
      </c>
      <c r="F44" s="6">
        <f>SUM($D$23:D44)</f>
        <v>-22962.233650913106</v>
      </c>
      <c r="G44" s="6">
        <f>Табл1[[#This Row],[Тело кредита на начало периода]]+Табл1[[#This Row],[Тело кредита]]</f>
        <v>77037.766349086887</v>
      </c>
      <c r="H44" s="19">
        <f>PV($B$13,$B$9-Табл1[[#This Row],[Период (№месяца)]]+1,$B$11,$B$6,$B$10)/IF(Табл1[[#This Row],[Период (№месяца)]]=1,1,1+$B$10*$B$13)</f>
        <v>78333.969389488266</v>
      </c>
      <c r="I44" s="6">
        <f>-FV($B$13,Табл1[[#This Row],[Период (№месяца)]],$B$11,$B$5,$B$10)/(1+$B$10*$B$13)</f>
        <v>77037.766349086858</v>
      </c>
      <c r="J44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78333.969389488266</v>
      </c>
      <c r="K44" s="6">
        <f>-($B$11*(1+$B$13*$B$10)*(1-(1+$B$13)^Табл1[[#This Row],[Период (№месяца)]])/$B$13-$B$5*((1+$B$13)^Табл1[[#This Row],[Период (№месяца)]]))/(1+$B$10*$B$13)</f>
        <v>77037.766349086873</v>
      </c>
      <c r="M44" s="20"/>
      <c r="N44" s="20"/>
    </row>
    <row r="45" spans="1:21" x14ac:dyDescent="0.25">
      <c r="A45" s="5">
        <f>IF(ROW()-ROW(Табл1[[#Headers],[Период (№месяца)]])&gt;$B$9,0,ROW()-ROW(Табл1[[#Headers],[Период (№месяца)]]))</f>
        <v>23</v>
      </c>
      <c r="B45" s="6">
        <f>$B$5+SUM($D$22:D44)</f>
        <v>77037.766349086887</v>
      </c>
      <c r="C45" s="6">
        <f t="shared" si="0"/>
        <v>-2999.9999999999982</v>
      </c>
      <c r="D45" s="6">
        <f t="shared" si="1"/>
        <v>-1324.3960046602815</v>
      </c>
      <c r="E45" s="6">
        <f t="shared" si="2"/>
        <v>-1675.6039953397167</v>
      </c>
      <c r="F45" s="6">
        <f>SUM($D$23:D45)</f>
        <v>-24286.629655573386</v>
      </c>
      <c r="G45" s="6">
        <f>Табл1[[#This Row],[Тело кредита на начало периода]]+Табл1[[#This Row],[Тело кредита]]</f>
        <v>75713.370344426599</v>
      </c>
      <c r="H45" s="19">
        <f>PV($B$13,$B$9-Табл1[[#This Row],[Период (№месяца)]]+1,$B$11,$B$6,$B$10)/IF(Табл1[[#This Row],[Период (№месяца)]]=1,1,1+$B$10*$B$13)</f>
        <v>77037.766349086916</v>
      </c>
      <c r="I45" s="6">
        <f>-FV($B$13,Табл1[[#This Row],[Период (№месяца)]],$B$11,$B$5,$B$10)/(1+$B$10*$B$13)</f>
        <v>75713.370344426556</v>
      </c>
      <c r="J45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77037.766349086931</v>
      </c>
      <c r="K45" s="6">
        <f>-($B$11*(1+$B$13*$B$10)*(1-(1+$B$13)^Табл1[[#This Row],[Период (№месяца)]])/$B$13-$B$5*((1+$B$13)^Табл1[[#This Row],[Период (№месяца)]]))/(1+$B$10*$B$13)</f>
        <v>75713.37034442657</v>
      </c>
      <c r="M45" s="20"/>
      <c r="N45" s="20"/>
    </row>
    <row r="46" spans="1:21" x14ac:dyDescent="0.25">
      <c r="A46" s="5">
        <f>IF(ROW()-ROW(Табл1[[#Headers],[Период (№месяца)]])&gt;$B$9,0,ROW()-ROW(Табл1[[#Headers],[Период (№месяца)]]))</f>
        <v>24</v>
      </c>
      <c r="B46" s="6">
        <f>$B$5+SUM($D$22:D45)</f>
        <v>75713.370344426614</v>
      </c>
      <c r="C46" s="6">
        <f t="shared" si="0"/>
        <v>-2999.9999999999982</v>
      </c>
      <c r="D46" s="6">
        <f t="shared" si="1"/>
        <v>-1353.2021778139122</v>
      </c>
      <c r="E46" s="6">
        <f t="shared" si="2"/>
        <v>-1646.7978221860865</v>
      </c>
      <c r="F46" s="6">
        <f>SUM($D$23:D46)</f>
        <v>-25639.831833387299</v>
      </c>
      <c r="G46" s="6">
        <f>Табл1[[#This Row],[Тело кредита на начало периода]]+Табл1[[#This Row],[Тело кредита]]</f>
        <v>74360.168166612697</v>
      </c>
      <c r="H46" s="19">
        <f>PV($B$13,$B$9-Табл1[[#This Row],[Период (№месяца)]]+1,$B$11,$B$6,$B$10)/IF(Табл1[[#This Row],[Период (№месяца)]]=1,1,1+$B$10*$B$13)</f>
        <v>75713.370344426614</v>
      </c>
      <c r="I46" s="6">
        <f>-FV($B$13,Табл1[[#This Row],[Период (№месяца)]],$B$11,$B$5,$B$10)/(1+$B$10*$B$13)</f>
        <v>74360.168166612668</v>
      </c>
      <c r="J46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75713.370344426628</v>
      </c>
      <c r="K46" s="6">
        <f>-($B$11*(1+$B$13*$B$10)*(1-(1+$B$13)^Табл1[[#This Row],[Период (№месяца)]])/$B$13-$B$5*((1+$B$13)^Табл1[[#This Row],[Период (№месяца)]]))/(1+$B$10*$B$13)</f>
        <v>74360.168166612668</v>
      </c>
      <c r="M46" s="20"/>
      <c r="N46" s="20"/>
    </row>
    <row r="47" spans="1:21" x14ac:dyDescent="0.25">
      <c r="A47" s="5">
        <f>IF(ROW()-ROW(Табл1[[#Headers],[Период (№месяца)]])&gt;$B$9,0,ROW()-ROW(Табл1[[#Headers],[Период (№месяца)]]))</f>
        <v>25</v>
      </c>
      <c r="B47" s="6">
        <f>$B$5+SUM($D$22:D46)</f>
        <v>74360.168166612697</v>
      </c>
      <c r="C47" s="6">
        <f t="shared" si="0"/>
        <v>-2999.9999999999982</v>
      </c>
      <c r="D47" s="6">
        <f t="shared" si="1"/>
        <v>-1382.6348974150078</v>
      </c>
      <c r="E47" s="6">
        <f t="shared" si="2"/>
        <v>-1617.3651025849904</v>
      </c>
      <c r="F47" s="6">
        <f>SUM($D$23:D47)</f>
        <v>-27022.466730802305</v>
      </c>
      <c r="G47" s="6">
        <f>Табл1[[#This Row],[Тело кредита на начало периода]]+Табл1[[#This Row],[Тело кредита]]</f>
        <v>72977.533269197695</v>
      </c>
      <c r="H47" s="19">
        <f>PV($B$13,$B$9-Табл1[[#This Row],[Период (№месяца)]]+1,$B$11,$B$6,$B$10)/IF(Табл1[[#This Row],[Период (№месяца)]]=1,1,1+$B$10*$B$13)</f>
        <v>74360.168166612712</v>
      </c>
      <c r="I47" s="6">
        <f>-FV($B$13,Табл1[[#This Row],[Период (№месяца)]],$B$11,$B$5,$B$10)/(1+$B$10*$B$13)</f>
        <v>72977.53326919768</v>
      </c>
      <c r="J47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74360.168166612726</v>
      </c>
      <c r="K47" s="6">
        <f>-($B$11*(1+$B$13*$B$10)*(1-(1+$B$13)^Табл1[[#This Row],[Период (№месяца)]])/$B$13-$B$5*((1+$B$13)^Табл1[[#This Row],[Период (№месяца)]]))/(1+$B$10*$B$13)</f>
        <v>72977.53326919768</v>
      </c>
      <c r="M47" s="20"/>
      <c r="N47" s="20"/>
    </row>
    <row r="48" spans="1:21" x14ac:dyDescent="0.25">
      <c r="A48" s="5">
        <f>IF(ROW()-ROW(Табл1[[#Headers],[Период (№месяца)]])&gt;$B$9,0,ROW()-ROW(Табл1[[#Headers],[Период (№месяца)]]))</f>
        <v>26</v>
      </c>
      <c r="B48" s="6">
        <f>$B$5+SUM($D$22:D47)</f>
        <v>72977.533269197695</v>
      </c>
      <c r="C48" s="6">
        <f t="shared" si="0"/>
        <v>-2999.9999999999982</v>
      </c>
      <c r="D48" s="6">
        <f t="shared" si="1"/>
        <v>-1412.7077911137508</v>
      </c>
      <c r="E48" s="6">
        <f t="shared" si="2"/>
        <v>-1587.2922088862472</v>
      </c>
      <c r="F48" s="6">
        <f>SUM($D$23:D48)</f>
        <v>-28435.174521916055</v>
      </c>
      <c r="G48" s="6">
        <f>Табл1[[#This Row],[Тело кредита на начало периода]]+Табл1[[#This Row],[Тело кредита]]</f>
        <v>71564.825478083949</v>
      </c>
      <c r="H48" s="19">
        <f>PV($B$13,$B$9-Табл1[[#This Row],[Период (№месяца)]]+1,$B$11,$B$6,$B$10)/IF(Табл1[[#This Row],[Период (№месяца)]]=1,1,1+$B$10*$B$13)</f>
        <v>72977.533269197709</v>
      </c>
      <c r="I48" s="6">
        <f>-FV($B$13,Табл1[[#This Row],[Период (№месяца)]],$B$11,$B$5,$B$10)/(1+$B$10*$B$13)</f>
        <v>71564.82547808392</v>
      </c>
      <c r="J48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72977.533269197709</v>
      </c>
      <c r="K48" s="6">
        <f>-($B$11*(1+$B$13*$B$10)*(1-(1+$B$13)^Табл1[[#This Row],[Период (№месяца)]])/$B$13-$B$5*((1+$B$13)^Табл1[[#This Row],[Период (№месяца)]]))/(1+$B$10*$B$13)</f>
        <v>71564.82547808392</v>
      </c>
      <c r="M48" s="20"/>
      <c r="N48" s="20"/>
    </row>
    <row r="49" spans="1:14" x14ac:dyDescent="0.25">
      <c r="A49" s="5">
        <f>IF(ROW()-ROW(Табл1[[#Headers],[Период (№месяца)]])&gt;$B$9,0,ROW()-ROW(Табл1[[#Headers],[Период (№месяца)]]))</f>
        <v>27</v>
      </c>
      <c r="B49" s="6">
        <f>$B$5+SUM($D$22:D48)</f>
        <v>71564.825478083949</v>
      </c>
      <c r="C49" s="6">
        <f t="shared" si="0"/>
        <v>-2999.9999999999982</v>
      </c>
      <c r="D49" s="6">
        <f t="shared" si="1"/>
        <v>-1443.4347829674782</v>
      </c>
      <c r="E49" s="6">
        <f t="shared" si="2"/>
        <v>-1556.56521703252</v>
      </c>
      <c r="F49" s="6">
        <f>SUM($D$23:D49)</f>
        <v>-29878.609304883532</v>
      </c>
      <c r="G49" s="6">
        <f>Табл1[[#This Row],[Тело кредита на начало периода]]+Табл1[[#This Row],[Тело кредита]]</f>
        <v>70121.390695116468</v>
      </c>
      <c r="H49" s="19">
        <f>PV($B$13,$B$9-Табл1[[#This Row],[Период (№месяца)]]+1,$B$11,$B$6,$B$10)/IF(Табл1[[#This Row],[Период (№месяца)]]=1,1,1+$B$10*$B$13)</f>
        <v>71564.825478083963</v>
      </c>
      <c r="I49" s="6">
        <f>-FV($B$13,Табл1[[#This Row],[Период (№месяца)]],$B$11,$B$5,$B$10)/(1+$B$10*$B$13)</f>
        <v>70121.39069511641</v>
      </c>
      <c r="J49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71564.825478083949</v>
      </c>
      <c r="K49" s="6">
        <f>-($B$11*(1+$B$13*$B$10)*(1-(1+$B$13)^Табл1[[#This Row],[Период (№месяца)]])/$B$13-$B$5*((1+$B$13)^Табл1[[#This Row],[Период (№месяца)]]))/(1+$B$10*$B$13)</f>
        <v>70121.390695116424</v>
      </c>
      <c r="M49" s="20"/>
      <c r="N49" s="20"/>
    </row>
    <row r="50" spans="1:14" x14ac:dyDescent="0.25">
      <c r="A50" s="5">
        <f>IF(ROW()-ROW(Табл1[[#Headers],[Период (№месяца)]])&gt;$B$9,0,ROW()-ROW(Табл1[[#Headers],[Период (№месяца)]]))</f>
        <v>28</v>
      </c>
      <c r="B50" s="6">
        <f>$B$5+SUM($D$22:D49)</f>
        <v>70121.390695116468</v>
      </c>
      <c r="C50" s="6">
        <f t="shared" si="0"/>
        <v>-2999.9999999999982</v>
      </c>
      <c r="D50" s="6">
        <f t="shared" si="1"/>
        <v>-1474.8300998876618</v>
      </c>
      <c r="E50" s="6">
        <f t="shared" si="2"/>
        <v>-1525.1699001123368</v>
      </c>
      <c r="F50" s="6">
        <f>SUM($D$23:D50)</f>
        <v>-31353.439404771194</v>
      </c>
      <c r="G50" s="6">
        <f>Табл1[[#This Row],[Тело кредита на начало периода]]+Табл1[[#This Row],[Тело кредита]]</f>
        <v>68646.560595228802</v>
      </c>
      <c r="H50" s="19">
        <f>PV($B$13,$B$9-Табл1[[#This Row],[Период (№месяца)]]+1,$B$11,$B$6,$B$10)/IF(Табл1[[#This Row],[Период (№месяца)]]=1,1,1+$B$10*$B$13)</f>
        <v>70121.390695116468</v>
      </c>
      <c r="I50" s="6">
        <f>-FV($B$13,Табл1[[#This Row],[Период (№месяца)]],$B$11,$B$5,$B$10)/(1+$B$10*$B$13)</f>
        <v>68646.560595228744</v>
      </c>
      <c r="J50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70121.390695116483</v>
      </c>
      <c r="K50" s="6">
        <f>-($B$11*(1+$B$13*$B$10)*(1-(1+$B$13)^Табл1[[#This Row],[Период (№месяца)]])/$B$13-$B$5*((1+$B$13)^Табл1[[#This Row],[Период (№месяца)]]))/(1+$B$10*$B$13)</f>
        <v>68646.560595228744</v>
      </c>
      <c r="M50" s="20"/>
      <c r="N50" s="20"/>
    </row>
    <row r="51" spans="1:14" x14ac:dyDescent="0.25">
      <c r="A51" s="5">
        <f>IF(ROW()-ROW(Табл1[[#Headers],[Период (№месяца)]])&gt;$B$9,0,ROW()-ROW(Табл1[[#Headers],[Период (№месяца)]]))</f>
        <v>29</v>
      </c>
      <c r="B51" s="6">
        <f>$B$5+SUM($D$22:D50)</f>
        <v>68646.560595228802</v>
      </c>
      <c r="C51" s="6">
        <f t="shared" si="0"/>
        <v>-2999.9999999999982</v>
      </c>
      <c r="D51" s="6">
        <f t="shared" si="1"/>
        <v>-1506.9082782271139</v>
      </c>
      <c r="E51" s="6">
        <f t="shared" si="2"/>
        <v>-1493.0917217728847</v>
      </c>
      <c r="F51" s="6">
        <f>SUM($D$23:D51)</f>
        <v>-32860.347682998305</v>
      </c>
      <c r="G51" s="6">
        <f>Табл1[[#This Row],[Тело кредита на начало периода]]+Табл1[[#This Row],[Тело кредита]]</f>
        <v>67139.652317001688</v>
      </c>
      <c r="H51" s="19">
        <f>PV($B$13,$B$9-Табл1[[#This Row],[Период (№месяца)]]+1,$B$11,$B$6,$B$10)/IF(Табл1[[#This Row],[Период (№месяца)]]=1,1,1+$B$10*$B$13)</f>
        <v>68646.560595228802</v>
      </c>
      <c r="I51" s="6">
        <f>-FV($B$13,Табл1[[#This Row],[Период (№месяца)]],$B$11,$B$5,$B$10)/(1+$B$10*$B$13)</f>
        <v>67139.652317001644</v>
      </c>
      <c r="J51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68646.560595228817</v>
      </c>
      <c r="K51" s="6">
        <f>-($B$11*(1+$B$13*$B$10)*(1-(1+$B$13)^Табл1[[#This Row],[Период (№месяца)]])/$B$13-$B$5*((1+$B$13)^Табл1[[#This Row],[Период (№месяца)]]))/(1+$B$10*$B$13)</f>
        <v>67139.652317001659</v>
      </c>
      <c r="M51" s="20"/>
      <c r="N51" s="20"/>
    </row>
    <row r="52" spans="1:14" x14ac:dyDescent="0.25">
      <c r="A52" s="5">
        <f>IF(ROW()-ROW(Табл1[[#Headers],[Период (№месяца)]])&gt;$B$9,0,ROW()-ROW(Табл1[[#Headers],[Период (№месяца)]]))</f>
        <v>30</v>
      </c>
      <c r="B52" s="6">
        <f>$B$5+SUM($D$22:D51)</f>
        <v>67139.652317001688</v>
      </c>
      <c r="C52" s="6">
        <f t="shared" si="0"/>
        <v>-2999.9999999999982</v>
      </c>
      <c r="D52" s="6">
        <f t="shared" si="1"/>
        <v>-1539.6841705104678</v>
      </c>
      <c r="E52" s="6">
        <f t="shared" si="2"/>
        <v>-1460.3158294895311</v>
      </c>
      <c r="F52" s="6">
        <f>SUM($D$23:D52)</f>
        <v>-34400.031853508772</v>
      </c>
      <c r="G52" s="6">
        <f>Табл1[[#This Row],[Тело кредита на начало периода]]+Табл1[[#This Row],[Тело кредита]]</f>
        <v>65599.968146491214</v>
      </c>
      <c r="H52" s="19">
        <f>PV($B$13,$B$9-Табл1[[#This Row],[Период (№месяца)]]+1,$B$11,$B$6,$B$10)/IF(Табл1[[#This Row],[Период (№месяца)]]=1,1,1+$B$10*$B$13)</f>
        <v>67139.652317001717</v>
      </c>
      <c r="I52" s="6">
        <f>-FV($B$13,Табл1[[#This Row],[Период (№месяца)]],$B$11,$B$5,$B$10)/(1+$B$10*$B$13)</f>
        <v>65599.968146491185</v>
      </c>
      <c r="J52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67139.652317001717</v>
      </c>
      <c r="K52" s="6">
        <f>-($B$11*(1+$B$13*$B$10)*(1-(1+$B$13)^Табл1[[#This Row],[Период (№месяца)]])/$B$13-$B$5*((1+$B$13)^Табл1[[#This Row],[Период (№месяца)]]))/(1+$B$10*$B$13)</f>
        <v>65599.968146491185</v>
      </c>
      <c r="M52" s="20"/>
      <c r="N52" s="20"/>
    </row>
    <row r="53" spans="1:14" x14ac:dyDescent="0.25">
      <c r="A53" s="5">
        <f>IF(ROW()-ROW(Табл1[[#Headers],[Период (№месяца)]])&gt;$B$9,0,ROW()-ROW(Табл1[[#Headers],[Период (№месяца)]]))</f>
        <v>31</v>
      </c>
      <c r="B53" s="6">
        <f>$B$5+SUM($D$22:D52)</f>
        <v>65599.968146491228</v>
      </c>
      <c r="C53" s="6">
        <f t="shared" si="0"/>
        <v>-2999.9999999999982</v>
      </c>
      <c r="D53" s="6">
        <f t="shared" si="1"/>
        <v>-1573.1729523110478</v>
      </c>
      <c r="E53" s="6">
        <f t="shared" si="2"/>
        <v>-1426.8270476889506</v>
      </c>
      <c r="F53" s="6">
        <f>SUM($D$23:D53)</f>
        <v>-35973.20480581982</v>
      </c>
      <c r="G53" s="6">
        <f>Табл1[[#This Row],[Тело кредита на начало периода]]+Табл1[[#This Row],[Тело кредита]]</f>
        <v>64026.79519418018</v>
      </c>
      <c r="H53" s="19">
        <f>PV($B$13,$B$9-Табл1[[#This Row],[Период (№месяца)]]+1,$B$11,$B$6,$B$10)/IF(Табл1[[#This Row],[Период (№месяца)]]=1,1,1+$B$10*$B$13)</f>
        <v>65599.968146491243</v>
      </c>
      <c r="I53" s="6">
        <f>-FV($B$13,Табл1[[#This Row],[Период (№месяца)]],$B$11,$B$5,$B$10)/(1+$B$10*$B$13)</f>
        <v>64026.795194180115</v>
      </c>
      <c r="J53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65599.968146491243</v>
      </c>
      <c r="K53" s="6">
        <f>-($B$11*(1+$B$13*$B$10)*(1-(1+$B$13)^Табл1[[#This Row],[Период (№месяца)]])/$B$13-$B$5*((1+$B$13)^Табл1[[#This Row],[Период (№месяца)]]))/(1+$B$10*$B$13)</f>
        <v>64026.795194180129</v>
      </c>
      <c r="M53" s="20"/>
      <c r="N53" s="20"/>
    </row>
    <row r="54" spans="1:14" x14ac:dyDescent="0.25">
      <c r="A54" s="5">
        <f>IF(ROW()-ROW(Табл1[[#Headers],[Период (№месяца)]])&gt;$B$9,0,ROW()-ROW(Табл1[[#Headers],[Период (№месяца)]]))</f>
        <v>32</v>
      </c>
      <c r="B54" s="6">
        <f>$B$5+SUM($D$22:D53)</f>
        <v>64026.79519418018</v>
      </c>
      <c r="C54" s="6">
        <f t="shared" si="0"/>
        <v>-2999.9999999999982</v>
      </c>
      <c r="D54" s="6">
        <f t="shared" si="1"/>
        <v>-1607.3901292773166</v>
      </c>
      <c r="E54" s="6">
        <f t="shared" si="2"/>
        <v>-1392.609870722682</v>
      </c>
      <c r="F54" s="6">
        <f>SUM($D$23:D54)</f>
        <v>-37580.594935097135</v>
      </c>
      <c r="G54" s="6">
        <f>Табл1[[#This Row],[Тело кредита на начало периода]]+Табл1[[#This Row],[Тело кредита]]</f>
        <v>62419.405064902865</v>
      </c>
      <c r="H54" s="19">
        <f>PV($B$13,$B$9-Табл1[[#This Row],[Период (№месяца)]]+1,$B$11,$B$6,$B$10)/IF(Табл1[[#This Row],[Период (№месяца)]]=1,1,1+$B$10*$B$13)</f>
        <v>64026.79519418018</v>
      </c>
      <c r="I54" s="6">
        <f>-FV($B$13,Табл1[[#This Row],[Период (№месяца)]],$B$11,$B$5,$B$10)/(1+$B$10*$B$13)</f>
        <v>62419.405064902821</v>
      </c>
      <c r="J54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64026.79519418018</v>
      </c>
      <c r="K54" s="6">
        <f>-($B$11*(1+$B$13*$B$10)*(1-(1+$B$13)^Табл1[[#This Row],[Период (№месяца)]])/$B$13-$B$5*((1+$B$13)^Табл1[[#This Row],[Период (№месяца)]]))/(1+$B$10*$B$13)</f>
        <v>62419.405064902821</v>
      </c>
      <c r="M54" s="20"/>
      <c r="N54" s="20"/>
    </row>
    <row r="55" spans="1:14" x14ac:dyDescent="0.25">
      <c r="A55" s="5">
        <f>IF(ROW()-ROW(Табл1[[#Headers],[Период (№месяца)]])&gt;$B$9,0,ROW()-ROW(Табл1[[#Headers],[Период (№месяца)]]))</f>
        <v>33</v>
      </c>
      <c r="B55" s="6">
        <f>$B$5+SUM($D$22:D54)</f>
        <v>62419.405064902865</v>
      </c>
      <c r="C55" s="6">
        <f t="shared" ref="C55:C82" si="3">PMT($B$13,$B$9,$B$5,$B$6,$B$10)</f>
        <v>-2999.9999999999982</v>
      </c>
      <c r="D55" s="6">
        <f t="shared" ref="D55:D82" si="4">PPMT($B$13,A55,$B$9,$B$5,$B$6,$B$10)</f>
        <v>-1642.3515443121466</v>
      </c>
      <c r="E55" s="6">
        <f t="shared" ref="E55:E82" si="5">IPMT($B$13,A55,$B$9,$B$5,$B$6,$B$10)</f>
        <v>-1357.6484556878518</v>
      </c>
      <c r="F55" s="6">
        <f>SUM($D$23:D55)</f>
        <v>-39222.946479409278</v>
      </c>
      <c r="G55" s="6">
        <f>Табл1[[#This Row],[Тело кредита на начало периода]]+Табл1[[#This Row],[Тело кредита]]</f>
        <v>60777.053520590722</v>
      </c>
      <c r="H55" s="19">
        <f>PV($B$13,$B$9-Табл1[[#This Row],[Период (№месяца)]]+1,$B$11,$B$6,$B$10)/IF(Табл1[[#This Row],[Период (№месяца)]]=1,1,1+$B$10*$B$13)</f>
        <v>62419.405064902872</v>
      </c>
      <c r="I55" s="6">
        <f>-FV($B$13,Табл1[[#This Row],[Период (№месяца)]],$B$11,$B$5,$B$10)/(1+$B$10*$B$13)</f>
        <v>60777.053520590678</v>
      </c>
      <c r="J55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62419.40506490288</v>
      </c>
      <c r="K55" s="6">
        <f>-($B$11*(1+$B$13*$B$10)*(1-(1+$B$13)^Табл1[[#This Row],[Период (№месяца)]])/$B$13-$B$5*((1+$B$13)^Табл1[[#This Row],[Период (№месяца)]]))/(1+$B$10*$B$13)</f>
        <v>60777.053520590678</v>
      </c>
      <c r="M55" s="20"/>
      <c r="N55" s="20"/>
    </row>
    <row r="56" spans="1:14" x14ac:dyDescent="0.25">
      <c r="A56" s="5">
        <f>IF(ROW()-ROW(Табл1[[#Headers],[Период (№месяца)]])&gt;$B$9,0,ROW()-ROW(Табл1[[#Headers],[Период (№месяца)]]))</f>
        <v>34</v>
      </c>
      <c r="B56" s="6">
        <f>$B$5+SUM($D$22:D55)</f>
        <v>60777.053520590722</v>
      </c>
      <c r="C56" s="6">
        <f t="shared" si="3"/>
        <v>-2999.9999999999982</v>
      </c>
      <c r="D56" s="6">
        <f t="shared" si="4"/>
        <v>-1678.073384908248</v>
      </c>
      <c r="E56" s="6">
        <f t="shared" si="5"/>
        <v>-1321.9266150917506</v>
      </c>
      <c r="F56" s="6">
        <f>SUM($D$23:D56)</f>
        <v>-40901.019864317524</v>
      </c>
      <c r="G56" s="6">
        <f>Табл1[[#This Row],[Тело кредита на начало периода]]+Табл1[[#This Row],[Тело кредита]]</f>
        <v>59098.980135682476</v>
      </c>
      <c r="H56" s="19">
        <f>PV($B$13,$B$9-Табл1[[#This Row],[Период (№месяца)]]+1,$B$11,$B$6,$B$10)/IF(Табл1[[#This Row],[Период (№месяца)]]=1,1,1+$B$10*$B$13)</f>
        <v>60777.053520590729</v>
      </c>
      <c r="I56" s="6">
        <f>-FV($B$13,Табл1[[#This Row],[Период (№месяца)]],$B$11,$B$5,$B$10)/(1+$B$10*$B$13)</f>
        <v>59098.980135682417</v>
      </c>
      <c r="J56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60777.053520590729</v>
      </c>
      <c r="K56" s="6">
        <f>-($B$11*(1+$B$13*$B$10)*(1-(1+$B$13)^Табл1[[#This Row],[Период (№месяца)]])/$B$13-$B$5*((1+$B$13)^Табл1[[#This Row],[Период (№месяца)]]))/(1+$B$10*$B$13)</f>
        <v>59098.980135682417</v>
      </c>
      <c r="M56" s="20"/>
      <c r="N56" s="20"/>
    </row>
    <row r="57" spans="1:14" x14ac:dyDescent="0.25">
      <c r="A57" s="5">
        <f>IF(ROW()-ROW(Табл1[[#Headers],[Период (№месяца)]])&gt;$B$9,0,ROW()-ROW(Табл1[[#Headers],[Период (№месяца)]]))</f>
        <v>35</v>
      </c>
      <c r="B57" s="6">
        <f>$B$5+SUM($D$22:D56)</f>
        <v>59098.980135682476</v>
      </c>
      <c r="C57" s="6">
        <f t="shared" si="3"/>
        <v>-2999.9999999999982</v>
      </c>
      <c r="D57" s="6">
        <f t="shared" si="4"/>
        <v>-1714.5721906431427</v>
      </c>
      <c r="E57" s="6">
        <f t="shared" si="5"/>
        <v>-1285.427809356856</v>
      </c>
      <c r="F57" s="6">
        <f>SUM($D$23:D57)</f>
        <v>-42615.592054960667</v>
      </c>
      <c r="G57" s="6">
        <f>Табл1[[#This Row],[Тело кредита на начало периода]]+Табл1[[#This Row],[Тело кредита]]</f>
        <v>57384.407945039333</v>
      </c>
      <c r="H57" s="19">
        <f>PV($B$13,$B$9-Табл1[[#This Row],[Период (№месяца)]]+1,$B$11,$B$6,$B$10)/IF(Табл1[[#This Row],[Период (№месяца)]]=1,1,1+$B$10*$B$13)</f>
        <v>59098.980135682468</v>
      </c>
      <c r="I57" s="6">
        <f>-FV($B$13,Табл1[[#This Row],[Период (№месяца)]],$B$11,$B$5,$B$10)/(1+$B$10*$B$13)</f>
        <v>57384.407945039275</v>
      </c>
      <c r="J57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59098.980135682476</v>
      </c>
      <c r="K57" s="6">
        <f>-($B$11*(1+$B$13*$B$10)*(1-(1+$B$13)^Табл1[[#This Row],[Период (№месяца)]])/$B$13-$B$5*((1+$B$13)^Табл1[[#This Row],[Период (№месяца)]]))/(1+$B$10*$B$13)</f>
        <v>57384.407945039275</v>
      </c>
      <c r="M57" s="20"/>
      <c r="N57" s="20"/>
    </row>
    <row r="58" spans="1:14" x14ac:dyDescent="0.25">
      <c r="A58" s="5">
        <f>IF(ROW()-ROW(Табл1[[#Headers],[Период (№месяца)]])&gt;$B$9,0,ROW()-ROW(Табл1[[#Headers],[Период (№месяца)]]))</f>
        <v>36</v>
      </c>
      <c r="B58" s="6">
        <f>$B$5+SUM($D$22:D57)</f>
        <v>57384.407945039333</v>
      </c>
      <c r="C58" s="6">
        <f t="shared" si="3"/>
        <v>-2999.9999999999982</v>
      </c>
      <c r="D58" s="6">
        <f t="shared" si="4"/>
        <v>-1751.8648608371564</v>
      </c>
      <c r="E58" s="6">
        <f t="shared" si="5"/>
        <v>-1248.1351391628418</v>
      </c>
      <c r="F58" s="6">
        <f>SUM($D$23:D58)</f>
        <v>-44367.456915797826</v>
      </c>
      <c r="G58" s="6">
        <f>Табл1[[#This Row],[Тело кредита на начало периода]]+Табл1[[#This Row],[Тело кредита]]</f>
        <v>55632.543084202174</v>
      </c>
      <c r="H58" s="19">
        <f>PV($B$13,$B$9-Табл1[[#This Row],[Период (№месяца)]]+1,$B$11,$B$6,$B$10)/IF(Табл1[[#This Row],[Период (№месяца)]]=1,1,1+$B$10*$B$13)</f>
        <v>57384.407945039311</v>
      </c>
      <c r="I58" s="6">
        <f>-FV($B$13,Табл1[[#This Row],[Период (№месяца)]],$B$11,$B$5,$B$10)/(1+$B$10*$B$13)</f>
        <v>55632.543084202101</v>
      </c>
      <c r="J58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57384.407945039326</v>
      </c>
      <c r="K58" s="6">
        <f>-($B$11*(1+$B$13*$B$10)*(1-(1+$B$13)^Табл1[[#This Row],[Период (№месяца)]])/$B$13-$B$5*((1+$B$13)^Табл1[[#This Row],[Период (№месяца)]]))/(1+$B$10*$B$13)</f>
        <v>55632.543084202101</v>
      </c>
      <c r="M58" s="20"/>
      <c r="N58" s="20"/>
    </row>
    <row r="59" spans="1:14" x14ac:dyDescent="0.25">
      <c r="A59" s="5">
        <f>IF(ROW()-ROW(Табл1[[#Headers],[Период (№месяца)]])&gt;$B$9,0,ROW()-ROW(Табл1[[#Headers],[Период (№месяца)]]))</f>
        <v>37</v>
      </c>
      <c r="B59" s="6">
        <f>$B$5+SUM($D$22:D58)</f>
        <v>55632.543084202174</v>
      </c>
      <c r="C59" s="6">
        <f t="shared" si="3"/>
        <v>-2999.9999999999982</v>
      </c>
      <c r="D59" s="6">
        <f t="shared" si="4"/>
        <v>-1789.9686623779808</v>
      </c>
      <c r="E59" s="6">
        <f t="shared" si="5"/>
        <v>-1210.0313376220174</v>
      </c>
      <c r="F59" s="6">
        <f>SUM($D$23:D59)</f>
        <v>-46157.425578175804</v>
      </c>
      <c r="G59" s="6">
        <f>Табл1[[#This Row],[Тело кредита на начало периода]]+Табл1[[#This Row],[Тело кредита]]</f>
        <v>53842.574421824196</v>
      </c>
      <c r="H59" s="19">
        <f>PV($B$13,$B$9-Табл1[[#This Row],[Период (№месяца)]]+1,$B$11,$B$6,$B$10)/IF(Табл1[[#This Row],[Период (№месяца)]]=1,1,1+$B$10*$B$13)</f>
        <v>55632.54308420216</v>
      </c>
      <c r="I59" s="6">
        <f>-FV($B$13,Табл1[[#This Row],[Период (№месяца)]],$B$11,$B$5,$B$10)/(1+$B$10*$B$13)</f>
        <v>53842.57442182416</v>
      </c>
      <c r="J59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55632.543084202167</v>
      </c>
      <c r="K59" s="6">
        <f>-($B$11*(1+$B$13*$B$10)*(1-(1+$B$13)^Табл1[[#This Row],[Период (№месяца)]])/$B$13-$B$5*((1+$B$13)^Табл1[[#This Row],[Период (№месяца)]]))/(1+$B$10*$B$13)</f>
        <v>53842.574421824131</v>
      </c>
      <c r="M59" s="20"/>
      <c r="N59" s="20"/>
    </row>
    <row r="60" spans="1:14" x14ac:dyDescent="0.25">
      <c r="A60" s="5">
        <f>IF(ROW()-ROW(Табл1[[#Headers],[Период (№месяца)]])&gt;$B$9,0,ROW()-ROW(Табл1[[#Headers],[Период (№месяца)]]))</f>
        <v>38</v>
      </c>
      <c r="B60" s="6">
        <f>$B$5+SUM($D$22:D59)</f>
        <v>53842.574421824196</v>
      </c>
      <c r="C60" s="6">
        <f t="shared" si="3"/>
        <v>-2999.9999999999982</v>
      </c>
      <c r="D60" s="6">
        <f t="shared" si="4"/>
        <v>-1828.901237715414</v>
      </c>
      <c r="E60" s="6">
        <f t="shared" si="5"/>
        <v>-1171.0987622845839</v>
      </c>
      <c r="F60" s="6">
        <f>SUM($D$23:D60)</f>
        <v>-47986.326815891218</v>
      </c>
      <c r="G60" s="6">
        <f>Табл1[[#This Row],[Тело кредита на начало периода]]+Табл1[[#This Row],[Тело кредита]]</f>
        <v>52013.673184108782</v>
      </c>
      <c r="H60" s="19">
        <f>PV($B$13,$B$9-Табл1[[#This Row],[Период (№месяца)]]+1,$B$11,$B$6,$B$10)/IF(Табл1[[#This Row],[Период (№месяца)]]=1,1,1+$B$10*$B$13)</f>
        <v>53842.574421824203</v>
      </c>
      <c r="I60" s="6">
        <f>-FV($B$13,Табл1[[#This Row],[Период (№месяца)]],$B$11,$B$5,$B$10)/(1+$B$10*$B$13)</f>
        <v>52013.673184108717</v>
      </c>
      <c r="J60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53842.574421824203</v>
      </c>
      <c r="K60" s="6">
        <f>-($B$11*(1+$B$13*$B$10)*(1-(1+$B$13)^Табл1[[#This Row],[Период (№месяца)]])/$B$13-$B$5*((1+$B$13)^Табл1[[#This Row],[Период (№месяца)]]))/(1+$B$10*$B$13)</f>
        <v>52013.673184108717</v>
      </c>
      <c r="M60" s="20"/>
      <c r="N60" s="20"/>
    </row>
    <row r="61" spans="1:14" x14ac:dyDescent="0.25">
      <c r="A61" s="5">
        <f>IF(ROW()-ROW(Табл1[[#Headers],[Период (№месяца)]])&gt;$B$9,0,ROW()-ROW(Табл1[[#Headers],[Период (№месяца)]]))</f>
        <v>39</v>
      </c>
      <c r="B61" s="6">
        <f>$B$5+SUM($D$22:D60)</f>
        <v>52013.673184108782</v>
      </c>
      <c r="C61" s="6">
        <f t="shared" si="3"/>
        <v>-2999.9999999999982</v>
      </c>
      <c r="D61" s="6">
        <f t="shared" si="4"/>
        <v>-1868.6806130300004</v>
      </c>
      <c r="E61" s="6">
        <f t="shared" si="5"/>
        <v>-1131.319386969998</v>
      </c>
      <c r="F61" s="6">
        <f>SUM($D$23:D61)</f>
        <v>-49855.007428921221</v>
      </c>
      <c r="G61" s="6">
        <f>Табл1[[#This Row],[Тело кредита на начало периода]]+Табл1[[#This Row],[Тело кредита]]</f>
        <v>50144.992571078779</v>
      </c>
      <c r="H61" s="19">
        <f>PV($B$13,$B$9-Табл1[[#This Row],[Период (№месяца)]]+1,$B$11,$B$6,$B$10)/IF(Табл1[[#This Row],[Период (№месяца)]]=1,1,1+$B$10*$B$13)</f>
        <v>52013.673184108789</v>
      </c>
      <c r="I61" s="6">
        <f>-FV($B$13,Табл1[[#This Row],[Период (№месяца)]],$B$11,$B$5,$B$10)/(1+$B$10*$B$13)</f>
        <v>50144.992571078707</v>
      </c>
      <c r="J61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52013.673184108775</v>
      </c>
      <c r="K61" s="6">
        <f>-($B$11*(1+$B$13*$B$10)*(1-(1+$B$13)^Табл1[[#This Row],[Период (№месяца)]])/$B$13-$B$5*((1+$B$13)^Табл1[[#This Row],[Период (№месяца)]]))/(1+$B$10*$B$13)</f>
        <v>50144.992571078736</v>
      </c>
      <c r="M61" s="20"/>
      <c r="N61" s="20"/>
    </row>
    <row r="62" spans="1:14" x14ac:dyDescent="0.25">
      <c r="A62" s="5">
        <f>IF(ROW()-ROW(Табл1[[#Headers],[Период (№месяца)]])&gt;$B$9,0,ROW()-ROW(Табл1[[#Headers],[Период (№месяца)]]))</f>
        <v>40</v>
      </c>
      <c r="B62" s="6">
        <f>$B$5+SUM($D$22:D61)</f>
        <v>50144.992571078779</v>
      </c>
      <c r="C62" s="6">
        <f t="shared" si="3"/>
        <v>-2999.9999999999982</v>
      </c>
      <c r="D62" s="6">
        <f t="shared" si="4"/>
        <v>-1909.3252065793308</v>
      </c>
      <c r="E62" s="6">
        <f t="shared" si="5"/>
        <v>-1090.6747934206674</v>
      </c>
      <c r="F62" s="6">
        <f>SUM($D$23:D62)</f>
        <v>-51764.332635500548</v>
      </c>
      <c r="G62" s="6">
        <f>Табл1[[#This Row],[Тело кредита на начало периода]]+Табл1[[#This Row],[Тело кредита]]</f>
        <v>48235.667364499452</v>
      </c>
      <c r="H62" s="19">
        <f>PV($B$13,$B$9-Табл1[[#This Row],[Период (№месяца)]]+1,$B$11,$B$6,$B$10)/IF(Табл1[[#This Row],[Период (№месяца)]]=1,1,1+$B$10*$B$13)</f>
        <v>50144.992571078765</v>
      </c>
      <c r="I62" s="6">
        <f>-FV($B$13,Табл1[[#This Row],[Период (№месяца)]],$B$11,$B$5,$B$10)/(1+$B$10*$B$13)</f>
        <v>48235.667364499386</v>
      </c>
      <c r="J62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50144.992571078757</v>
      </c>
      <c r="K62" s="6">
        <f>-($B$11*(1+$B$13*$B$10)*(1-(1+$B$13)^Табл1[[#This Row],[Период (№месяца)]])/$B$13-$B$5*((1+$B$13)^Табл1[[#This Row],[Период (№месяца)]]))/(1+$B$10*$B$13)</f>
        <v>48235.667364499386</v>
      </c>
      <c r="M62" s="20"/>
      <c r="N62" s="20"/>
    </row>
    <row r="63" spans="1:14" x14ac:dyDescent="0.25">
      <c r="A63" s="5">
        <f>IF(ROW()-ROW(Табл1[[#Headers],[Период (№месяца)]])&gt;$B$9,0,ROW()-ROW(Табл1[[#Headers],[Период (№месяца)]]))</f>
        <v>41</v>
      </c>
      <c r="B63" s="6">
        <f>$B$5+SUM($D$22:D62)</f>
        <v>48235.667364499452</v>
      </c>
      <c r="C63" s="6">
        <f t="shared" si="3"/>
        <v>-2999.9999999999982</v>
      </c>
      <c r="D63" s="6">
        <f t="shared" si="4"/>
        <v>-1950.8538372258902</v>
      </c>
      <c r="E63" s="6">
        <f t="shared" si="5"/>
        <v>-1049.146162774108</v>
      </c>
      <c r="F63" s="6">
        <f>SUM($D$23:D63)</f>
        <v>-53715.18647272644</v>
      </c>
      <c r="G63" s="6">
        <f>Табл1[[#This Row],[Тело кредита на начало периода]]+Табл1[[#This Row],[Тело кредита]]</f>
        <v>46284.81352727356</v>
      </c>
      <c r="H63" s="19">
        <f>PV($B$13,$B$9-Табл1[[#This Row],[Период (№месяца)]]+1,$B$11,$B$6,$B$10)/IF(Табл1[[#This Row],[Период (№месяца)]]=1,1,1+$B$10*$B$13)</f>
        <v>48235.667364499444</v>
      </c>
      <c r="I63" s="6">
        <f>-FV($B$13,Табл1[[#This Row],[Период (№месяца)]],$B$11,$B$5,$B$10)/(1+$B$10*$B$13)</f>
        <v>46284.813527273509</v>
      </c>
      <c r="J63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48235.667364499452</v>
      </c>
      <c r="K63" s="6">
        <f>-($B$11*(1+$B$13*$B$10)*(1-(1+$B$13)^Табл1[[#This Row],[Период (№месяца)]])/$B$13-$B$5*((1+$B$13)^Табл1[[#This Row],[Период (№месяца)]]))/(1+$B$10*$B$13)</f>
        <v>46284.81352727348</v>
      </c>
      <c r="M63" s="20"/>
      <c r="N63" s="20"/>
    </row>
    <row r="64" spans="1:14" x14ac:dyDescent="0.25">
      <c r="A64" s="5">
        <f>IF(ROW()-ROW(Табл1[[#Headers],[Период (№месяца)]])&gt;$B$9,0,ROW()-ROW(Табл1[[#Headers],[Период (№месяца)]]))</f>
        <v>42</v>
      </c>
      <c r="B64" s="6">
        <f>$B$5+SUM($D$22:D63)</f>
        <v>46284.81352727356</v>
      </c>
      <c r="C64" s="6">
        <f t="shared" si="3"/>
        <v>-2999.9999999999982</v>
      </c>
      <c r="D64" s="6">
        <f t="shared" si="4"/>
        <v>-1993.2857331503783</v>
      </c>
      <c r="E64" s="6">
        <f t="shared" si="5"/>
        <v>-1006.7142668496197</v>
      </c>
      <c r="F64" s="6">
        <f>SUM($D$23:D64)</f>
        <v>-55708.472205876817</v>
      </c>
      <c r="G64" s="6">
        <f>Табл1[[#This Row],[Тело кредита на начало периода]]+Табл1[[#This Row],[Тело кредита]]</f>
        <v>44291.527794123183</v>
      </c>
      <c r="H64" s="19">
        <f>PV($B$13,$B$9-Табл1[[#This Row],[Период (№месяца)]]+1,$B$11,$B$6,$B$10)/IF(Табл1[[#This Row],[Период (№месяца)]]=1,1,1+$B$10*$B$13)</f>
        <v>46284.813527273553</v>
      </c>
      <c r="I64" s="6">
        <f>-FV($B$13,Табл1[[#This Row],[Период (№месяца)]],$B$11,$B$5,$B$10)/(1+$B$10*$B$13)</f>
        <v>44291.527794123103</v>
      </c>
      <c r="J64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46284.81352727356</v>
      </c>
      <c r="K64" s="6">
        <f>-($B$11*(1+$B$13*$B$10)*(1-(1+$B$13)^Табл1[[#This Row],[Период (№месяца)]])/$B$13-$B$5*((1+$B$13)^Табл1[[#This Row],[Период (№месяца)]]))/(1+$B$10*$B$13)</f>
        <v>44291.527794123103</v>
      </c>
      <c r="M64" s="20"/>
      <c r="N64" s="20"/>
    </row>
    <row r="65" spans="1:14" x14ac:dyDescent="0.25">
      <c r="A65" s="5">
        <f>IF(ROW()-ROW(Табл1[[#Headers],[Период (№месяца)]])&gt;$B$9,0,ROW()-ROW(Табл1[[#Headers],[Период (№месяца)]]))</f>
        <v>43</v>
      </c>
      <c r="B65" s="6">
        <f>$B$5+SUM($D$22:D64)</f>
        <v>44291.527794123183</v>
      </c>
      <c r="C65" s="6">
        <f t="shared" si="3"/>
        <v>-2999.9999999999982</v>
      </c>
      <c r="D65" s="6">
        <f t="shared" si="4"/>
        <v>-2036.640540754559</v>
      </c>
      <c r="E65" s="6">
        <f t="shared" si="5"/>
        <v>-963.35945924543978</v>
      </c>
      <c r="F65" s="6">
        <f>SUM($D$23:D65)</f>
        <v>-57745.112746631377</v>
      </c>
      <c r="G65" s="6">
        <f>Табл1[[#This Row],[Тело кредита на начало периода]]+Табл1[[#This Row],[Тело кредита]]</f>
        <v>42254.887253368623</v>
      </c>
      <c r="H65" s="19">
        <f>PV($B$13,$B$9-Табл1[[#This Row],[Период (№месяца)]]+1,$B$11,$B$6,$B$10)/IF(Табл1[[#This Row],[Период (№месяца)]]=1,1,1+$B$10*$B$13)</f>
        <v>44291.527794123169</v>
      </c>
      <c r="I65" s="6">
        <f>-FV($B$13,Табл1[[#This Row],[Период (№месяца)]],$B$11,$B$5,$B$10)/(1+$B$10*$B$13)</f>
        <v>42254.887253368535</v>
      </c>
      <c r="J65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44291.527794123183</v>
      </c>
      <c r="K65" s="6">
        <f>-($B$11*(1+$B$13*$B$10)*(1-(1+$B$13)^Табл1[[#This Row],[Период (№месяца)]])/$B$13-$B$5*((1+$B$13)^Табл1[[#This Row],[Период (№месяца)]]))/(1+$B$10*$B$13)</f>
        <v>42254.887253368535</v>
      </c>
      <c r="M65" s="20"/>
      <c r="N65" s="20"/>
    </row>
    <row r="66" spans="1:14" x14ac:dyDescent="0.25">
      <c r="A66" s="5">
        <f>IF(ROW()-ROW(Табл1[[#Headers],[Период (№месяца)]])&gt;$B$9,0,ROW()-ROW(Табл1[[#Headers],[Период (№месяца)]]))</f>
        <v>44</v>
      </c>
      <c r="B66" s="6">
        <f>$B$5+SUM($D$22:D65)</f>
        <v>42254.887253368623</v>
      </c>
      <c r="C66" s="6">
        <f t="shared" si="3"/>
        <v>-2999.9999999999982</v>
      </c>
      <c r="D66" s="6">
        <f t="shared" si="4"/>
        <v>-2080.9383337577383</v>
      </c>
      <c r="E66" s="6">
        <f t="shared" si="5"/>
        <v>-919.06166624225989</v>
      </c>
      <c r="F66" s="6">
        <f>SUM($D$23:D66)</f>
        <v>-59826.051080389116</v>
      </c>
      <c r="G66" s="6">
        <f>Табл1[[#This Row],[Тело кредита на начало периода]]+Табл1[[#This Row],[Тело кредита]]</f>
        <v>40173.948919610884</v>
      </c>
      <c r="H66" s="19">
        <f>PV($B$13,$B$9-Табл1[[#This Row],[Период (№месяца)]]+1,$B$11,$B$6,$B$10)/IF(Табл1[[#This Row],[Период (№месяца)]]=1,1,1+$B$10*$B$13)</f>
        <v>42254.887253368601</v>
      </c>
      <c r="I66" s="6">
        <f>-FV($B$13,Табл1[[#This Row],[Период (№месяца)]],$B$11,$B$5,$B$10)/(1+$B$10*$B$13)</f>
        <v>40173.948919610819</v>
      </c>
      <c r="J66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42254.887253368608</v>
      </c>
      <c r="K66" s="6">
        <f>-($B$11*(1+$B$13*$B$10)*(1-(1+$B$13)^Табл1[[#This Row],[Период (№месяца)]])/$B$13-$B$5*((1+$B$13)^Табл1[[#This Row],[Период (№месяца)]]))/(1+$B$10*$B$13)</f>
        <v>40173.948919610819</v>
      </c>
      <c r="M66" s="20"/>
      <c r="N66" s="20"/>
    </row>
    <row r="67" spans="1:14" x14ac:dyDescent="0.25">
      <c r="A67" s="5">
        <f>IF(ROW()-ROW(Табл1[[#Headers],[Период (№месяца)]])&gt;$B$9,0,ROW()-ROW(Табл1[[#Headers],[Период (№месяца)]]))</f>
        <v>45</v>
      </c>
      <c r="B67" s="6">
        <f>$B$5+SUM($D$22:D66)</f>
        <v>40173.948919610884</v>
      </c>
      <c r="C67" s="6">
        <f t="shared" si="3"/>
        <v>-2999.9999999999982</v>
      </c>
      <c r="D67" s="6">
        <f t="shared" si="4"/>
        <v>-2126.1996224911099</v>
      </c>
      <c r="E67" s="6">
        <f t="shared" si="5"/>
        <v>-873.80037750888835</v>
      </c>
      <c r="F67" s="6">
        <f>SUM($D$23:D67)</f>
        <v>-61952.250702880228</v>
      </c>
      <c r="G67" s="6">
        <f>Табл1[[#This Row],[Тело кредита на начало периода]]+Табл1[[#This Row],[Тело кредита]]</f>
        <v>38047.749297119772</v>
      </c>
      <c r="H67" s="19">
        <f>PV($B$13,$B$9-Табл1[[#This Row],[Период (№месяца)]]+1,$B$11,$B$6,$B$10)/IF(Табл1[[#This Row],[Период (№месяца)]]=1,1,1+$B$10*$B$13)</f>
        <v>40173.94891961087</v>
      </c>
      <c r="I67" s="6">
        <f>-FV($B$13,Табл1[[#This Row],[Период (№месяца)]],$B$11,$B$5,$B$10)/(1+$B$10*$B$13)</f>
        <v>38047.749297119706</v>
      </c>
      <c r="J67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40173.948919610877</v>
      </c>
      <c r="K67" s="6">
        <f>-($B$11*(1+$B$13*$B$10)*(1-(1+$B$13)^Табл1[[#This Row],[Период (№месяца)]])/$B$13-$B$5*((1+$B$13)^Табл1[[#This Row],[Период (№месяца)]]))/(1+$B$10*$B$13)</f>
        <v>38047.749297119706</v>
      </c>
      <c r="M67" s="20"/>
      <c r="N67" s="20"/>
    </row>
    <row r="68" spans="1:14" x14ac:dyDescent="0.25">
      <c r="A68" s="5">
        <f>IF(ROW()-ROW(Табл1[[#Headers],[Период (№месяца)]])&gt;$B$9,0,ROW()-ROW(Табл1[[#Headers],[Период (№месяца)]]))</f>
        <v>46</v>
      </c>
      <c r="B68" s="6">
        <f>$B$5+SUM($D$22:D67)</f>
        <v>38047.749297119772</v>
      </c>
      <c r="C68" s="6">
        <f t="shared" si="3"/>
        <v>-2999.9999999999982</v>
      </c>
      <c r="D68" s="6">
        <f t="shared" si="4"/>
        <v>-2172.4453633942417</v>
      </c>
      <c r="E68" s="6">
        <f t="shared" si="5"/>
        <v>-827.55463660575617</v>
      </c>
      <c r="F68" s="6">
        <f>SUM($D$23:D68)</f>
        <v>-64124.696066274468</v>
      </c>
      <c r="G68" s="6">
        <f>Табл1[[#This Row],[Тело кредита на начало периода]]+Табл1[[#This Row],[Тело кредита]]</f>
        <v>35875.303933725532</v>
      </c>
      <c r="H68" s="19">
        <f>PV($B$13,$B$9-Табл1[[#This Row],[Период (№месяца)]]+1,$B$11,$B$6,$B$10)/IF(Табл1[[#This Row],[Период (№месяца)]]=1,1,1+$B$10*$B$13)</f>
        <v>38047.749297119764</v>
      </c>
      <c r="I68" s="6">
        <f>-FV($B$13,Табл1[[#This Row],[Период (№месяца)]],$B$11,$B$5,$B$10)/(1+$B$10*$B$13)</f>
        <v>35875.30393372546</v>
      </c>
      <c r="J68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38047.749297119764</v>
      </c>
      <c r="K68" s="6">
        <f>-($B$11*(1+$B$13*$B$10)*(1-(1+$B$13)^Табл1[[#This Row],[Период (№месяца)]])/$B$13-$B$5*((1+$B$13)^Табл1[[#This Row],[Период (№месяца)]]))/(1+$B$10*$B$13)</f>
        <v>35875.30393372546</v>
      </c>
      <c r="M68" s="20"/>
      <c r="N68" s="20"/>
    </row>
    <row r="69" spans="1:14" x14ac:dyDescent="0.25">
      <c r="A69" s="5">
        <f>IF(ROW()-ROW(Табл1[[#Headers],[Период (№месяца)]])&gt;$B$9,0,ROW()-ROW(Табл1[[#Headers],[Период (№месяца)]]))</f>
        <v>47</v>
      </c>
      <c r="B69" s="6">
        <f>$B$5+SUM($D$22:D68)</f>
        <v>35875.303933725532</v>
      </c>
      <c r="C69" s="6">
        <f t="shared" si="3"/>
        <v>-2999.9999999999982</v>
      </c>
      <c r="D69" s="6">
        <f t="shared" si="4"/>
        <v>-2219.6969687181258</v>
      </c>
      <c r="E69" s="6">
        <f t="shared" si="5"/>
        <v>-780.30303128187234</v>
      </c>
      <c r="F69" s="6">
        <f>SUM($D$23:D69)</f>
        <v>-66344.393034992594</v>
      </c>
      <c r="G69" s="6">
        <f>Табл1[[#This Row],[Тело кредита на начало периода]]+Табл1[[#This Row],[Тело кредита]]</f>
        <v>33655.606965007406</v>
      </c>
      <c r="H69" s="19">
        <f>PV($B$13,$B$9-Табл1[[#This Row],[Период (№месяца)]]+1,$B$11,$B$6,$B$10)/IF(Табл1[[#This Row],[Период (№месяца)]]=1,1,1+$B$10*$B$13)</f>
        <v>35875.303933725518</v>
      </c>
      <c r="I69" s="6">
        <f>-FV($B$13,Табл1[[#This Row],[Период (№месяца)]],$B$11,$B$5,$B$10)/(1+$B$10*$B$13)</f>
        <v>33655.606965007319</v>
      </c>
      <c r="J69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35875.303933725518</v>
      </c>
      <c r="K69" s="6">
        <f>-($B$11*(1+$B$13*$B$10)*(1-(1+$B$13)^Табл1[[#This Row],[Период (№месяца)]])/$B$13-$B$5*((1+$B$13)^Табл1[[#This Row],[Период (№месяца)]]))/(1+$B$10*$B$13)</f>
        <v>33655.606965007319</v>
      </c>
      <c r="M69" s="20"/>
      <c r="N69" s="20"/>
    </row>
    <row r="70" spans="1:14" x14ac:dyDescent="0.25">
      <c r="A70" s="5">
        <f>IF(ROW()-ROW(Табл1[[#Headers],[Период (№месяца)]])&gt;$B$9,0,ROW()-ROW(Табл1[[#Headers],[Период (№месяца)]]))</f>
        <v>48</v>
      </c>
      <c r="B70" s="6">
        <f>$B$5+SUM($D$22:D69)</f>
        <v>33655.606965007406</v>
      </c>
      <c r="C70" s="6">
        <f t="shared" si="3"/>
        <v>-2999.9999999999982</v>
      </c>
      <c r="D70" s="6">
        <f t="shared" si="4"/>
        <v>-2267.9763164392666</v>
      </c>
      <c r="E70" s="6">
        <f t="shared" si="5"/>
        <v>-732.02368356073191</v>
      </c>
      <c r="F70" s="6">
        <f>SUM($D$23:D70)</f>
        <v>-68612.369351431858</v>
      </c>
      <c r="G70" s="6">
        <f>Табл1[[#This Row],[Тело кредита на начало периода]]+Табл1[[#This Row],[Тело кредита]]</f>
        <v>31387.630648568138</v>
      </c>
      <c r="H70" s="19">
        <f>PV($B$13,$B$9-Табл1[[#This Row],[Период (№месяца)]]+1,$B$11,$B$6,$B$10)/IF(Табл1[[#This Row],[Период (№месяца)]]=1,1,1+$B$10*$B$13)</f>
        <v>33655.606965007384</v>
      </c>
      <c r="I70" s="6">
        <f>-FV($B$13,Табл1[[#This Row],[Период (№месяца)]],$B$11,$B$5,$B$10)/(1+$B$10*$B$13)</f>
        <v>31387.63064856804</v>
      </c>
      <c r="J70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33655.606965007391</v>
      </c>
      <c r="K70" s="6">
        <f>-($B$11*(1+$B$13*$B$10)*(1-(1+$B$13)^Табл1[[#This Row],[Период (№месяца)]])/$B$13-$B$5*((1+$B$13)^Табл1[[#This Row],[Период (№месяца)]]))/(1+$B$10*$B$13)</f>
        <v>31387.630648568069</v>
      </c>
      <c r="M70" s="20"/>
      <c r="N70" s="20"/>
    </row>
    <row r="71" spans="1:14" x14ac:dyDescent="0.25">
      <c r="A71" s="5">
        <f>IF(ROW()-ROW(Табл1[[#Headers],[Период (№месяца)]])&gt;$B$9,0,ROW()-ROW(Табл1[[#Headers],[Период (№месяца)]]))</f>
        <v>49</v>
      </c>
      <c r="B71" s="6">
        <f>$B$5+SUM($D$22:D70)</f>
        <v>31387.630648568142</v>
      </c>
      <c r="C71" s="6">
        <f t="shared" si="3"/>
        <v>-2999.9999999999982</v>
      </c>
      <c r="D71" s="6">
        <f t="shared" si="4"/>
        <v>-2317.3057603894094</v>
      </c>
      <c r="E71" s="6">
        <f t="shared" si="5"/>
        <v>-682.69423961058885</v>
      </c>
      <c r="F71" s="6">
        <f>SUM($D$23:D71)</f>
        <v>-70929.675111821271</v>
      </c>
      <c r="G71" s="6">
        <f>Табл1[[#This Row],[Тело кредита на начало периода]]+Табл1[[#This Row],[Тело кредита]]</f>
        <v>29070.324888178733</v>
      </c>
      <c r="H71" s="19">
        <f>PV($B$13,$B$9-Табл1[[#This Row],[Период (№месяца)]]+1,$B$11,$B$6,$B$10)/IF(Табл1[[#This Row],[Период (№месяца)]]=1,1,1+$B$10*$B$13)</f>
        <v>31387.630648568123</v>
      </c>
      <c r="I71" s="6">
        <f>-FV($B$13,Табл1[[#This Row],[Период (№месяца)]],$B$11,$B$5,$B$10)/(1+$B$10*$B$13)</f>
        <v>29070.324888178642</v>
      </c>
      <c r="J71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31387.630648568127</v>
      </c>
      <c r="K71" s="6">
        <f>-($B$11*(1+$B$13*$B$10)*(1-(1+$B$13)^Табл1[[#This Row],[Период (№месяца)]])/$B$13-$B$5*((1+$B$13)^Табл1[[#This Row],[Период (№месяца)]]))/(1+$B$10*$B$13)</f>
        <v>29070.324888178642</v>
      </c>
      <c r="M71" s="20"/>
      <c r="N71" s="20"/>
    </row>
    <row r="72" spans="1:14" x14ac:dyDescent="0.25">
      <c r="A72" s="5">
        <f>IF(ROW()-ROW(Табл1[[#Headers],[Период (№месяца)]])&gt;$B$9,0,ROW()-ROW(Табл1[[#Headers],[Период (№месяца)]]))</f>
        <v>50</v>
      </c>
      <c r="B72" s="6">
        <f>$B$5+SUM($D$22:D71)</f>
        <v>29070.324888178729</v>
      </c>
      <c r="C72" s="6">
        <f t="shared" si="3"/>
        <v>-2999.9999999999982</v>
      </c>
      <c r="D72" s="6">
        <f t="shared" si="4"/>
        <v>-2367.7081406055936</v>
      </c>
      <c r="E72" s="6">
        <f t="shared" si="5"/>
        <v>-632.2918593944047</v>
      </c>
      <c r="F72" s="6">
        <f>SUM($D$23:D72)</f>
        <v>-73297.383252426866</v>
      </c>
      <c r="G72" s="6">
        <f>Табл1[[#This Row],[Тело кредита на начало периода]]+Табл1[[#This Row],[Тело кредита]]</f>
        <v>26702.616747573134</v>
      </c>
      <c r="H72" s="19">
        <f>PV($B$13,$B$9-Табл1[[#This Row],[Период (№месяца)]]+1,$B$11,$B$6,$B$10)/IF(Табл1[[#This Row],[Период (№месяца)]]=1,1,1+$B$10*$B$13)</f>
        <v>29070.324888178722</v>
      </c>
      <c r="I72" s="6">
        <f>-FV($B$13,Табл1[[#This Row],[Период (№месяца)]],$B$11,$B$5,$B$10)/(1+$B$10*$B$13)</f>
        <v>26702.616747573018</v>
      </c>
      <c r="J72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29070.324888178726</v>
      </c>
      <c r="K72" s="6">
        <f>-($B$11*(1+$B$13*$B$10)*(1-(1+$B$13)^Табл1[[#This Row],[Период (№месяца)]])/$B$13-$B$5*((1+$B$13)^Табл1[[#This Row],[Период (№месяца)]]))/(1+$B$10*$B$13)</f>
        <v>26702.616747573018</v>
      </c>
      <c r="M72" s="20"/>
      <c r="N72" s="20"/>
    </row>
    <row r="73" spans="1:14" x14ac:dyDescent="0.25">
      <c r="A73" s="5">
        <f>IF(ROW()-ROW(Табл1[[#Headers],[Период (№месяца)]])&gt;$B$9,0,ROW()-ROW(Табл1[[#Headers],[Период (№месяца)]]))</f>
        <v>51</v>
      </c>
      <c r="B73" s="6">
        <f>$B$5+SUM($D$22:D72)</f>
        <v>26702.616747573134</v>
      </c>
      <c r="C73" s="6">
        <f t="shared" si="3"/>
        <v>-2999.9999999999982</v>
      </c>
      <c r="D73" s="6">
        <f t="shared" si="4"/>
        <v>-2419.2067939053218</v>
      </c>
      <c r="E73" s="6">
        <f t="shared" si="5"/>
        <v>-580.79320609467641</v>
      </c>
      <c r="F73" s="6">
        <f>SUM($D$23:D73)</f>
        <v>-75716.590046332189</v>
      </c>
      <c r="G73" s="6">
        <f>Табл1[[#This Row],[Тело кредита на начало периода]]+Табл1[[#This Row],[Тело кредита]]</f>
        <v>24283.409953667811</v>
      </c>
      <c r="H73" s="19">
        <f>PV($B$13,$B$9-Табл1[[#This Row],[Период (№месяца)]]+1,$B$11,$B$6,$B$10)/IF(Табл1[[#This Row],[Период (№месяца)]]=1,1,1+$B$10*$B$13)</f>
        <v>26702.616747573124</v>
      </c>
      <c r="I73" s="6">
        <f>-FV($B$13,Табл1[[#This Row],[Период (№месяца)]],$B$11,$B$5,$B$10)/(1+$B$10*$B$13)</f>
        <v>24283.409953667724</v>
      </c>
      <c r="J73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26702.616747573131</v>
      </c>
      <c r="K73" s="6">
        <f>-($B$11*(1+$B$13*$B$10)*(1-(1+$B$13)^Табл1[[#This Row],[Период (№месяца)]])/$B$13-$B$5*((1+$B$13)^Табл1[[#This Row],[Период (№месяца)]]))/(1+$B$10*$B$13)</f>
        <v>24283.409953667724</v>
      </c>
      <c r="M73" s="20"/>
      <c r="N73" s="20"/>
    </row>
    <row r="74" spans="1:14" x14ac:dyDescent="0.25">
      <c r="A74" s="5">
        <f>IF(ROW()-ROW(Табл1[[#Headers],[Период (№месяца)]])&gt;$B$9,0,ROW()-ROW(Табл1[[#Headers],[Период (№месяца)]]))</f>
        <v>52</v>
      </c>
      <c r="B74" s="6">
        <f>$B$5+SUM($D$22:D73)</f>
        <v>24283.409953667811</v>
      </c>
      <c r="C74" s="6">
        <f t="shared" si="3"/>
        <v>-2999.9999999999982</v>
      </c>
      <c r="D74" s="6">
        <f t="shared" si="4"/>
        <v>-2471.8255646917464</v>
      </c>
      <c r="E74" s="6">
        <f t="shared" si="5"/>
        <v>-528.17443530825176</v>
      </c>
      <c r="F74" s="6">
        <f>SUM($D$23:D74)</f>
        <v>-78188.415611023942</v>
      </c>
      <c r="G74" s="6">
        <f>Табл1[[#This Row],[Тело кредита на начало периода]]+Табл1[[#This Row],[Тело кредита]]</f>
        <v>21811.584388976065</v>
      </c>
      <c r="H74" s="19">
        <f>PV($B$13,$B$9-Табл1[[#This Row],[Период (№месяца)]]+1,$B$11,$B$6,$B$10)/IF(Табл1[[#This Row],[Период (№месяца)]]=1,1,1+$B$10*$B$13)</f>
        <v>24283.409953667786</v>
      </c>
      <c r="I74" s="6">
        <f>-FV($B$13,Табл1[[#This Row],[Период (№месяца)]],$B$11,$B$5,$B$10)/(1+$B$10*$B$13)</f>
        <v>21811.584388975927</v>
      </c>
      <c r="J74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24283.409953667793</v>
      </c>
      <c r="K74" s="6">
        <f>-($B$11*(1+$B$13*$B$10)*(1-(1+$B$13)^Табл1[[#This Row],[Период (№месяца)]])/$B$13-$B$5*((1+$B$13)^Табл1[[#This Row],[Период (№месяца)]]))/(1+$B$10*$B$13)</f>
        <v>21811.584388975927</v>
      </c>
      <c r="M74" s="20"/>
      <c r="N74" s="20"/>
    </row>
    <row r="75" spans="1:14" x14ac:dyDescent="0.25">
      <c r="A75" s="5">
        <f>IF(ROW()-ROW(Табл1[[#Headers],[Период (№месяца)]])&gt;$B$9,0,ROW()-ROW(Табл1[[#Headers],[Период (№месяца)]]))</f>
        <v>53</v>
      </c>
      <c r="B75" s="6">
        <f>$B$5+SUM($D$22:D74)</f>
        <v>21811.584388976058</v>
      </c>
      <c r="C75" s="6">
        <f t="shared" si="3"/>
        <v>-2999.9999999999982</v>
      </c>
      <c r="D75" s="6">
        <f t="shared" si="4"/>
        <v>-2525.5888159938718</v>
      </c>
      <c r="E75" s="6">
        <f t="shared" si="5"/>
        <v>-474.41118400612675</v>
      </c>
      <c r="F75" s="6">
        <f>SUM($D$23:D75)</f>
        <v>-80714.004427017819</v>
      </c>
      <c r="G75" s="6">
        <f>Табл1[[#This Row],[Тело кредита на начало периода]]+Табл1[[#This Row],[Тело кредита]]</f>
        <v>19285.995572982185</v>
      </c>
      <c r="H75" s="19">
        <f>PV($B$13,$B$9-Табл1[[#This Row],[Период (№месяца)]]+1,$B$11,$B$6,$B$10)/IF(Табл1[[#This Row],[Период (№месяца)]]=1,1,1+$B$10*$B$13)</f>
        <v>21811.584388976044</v>
      </c>
      <c r="I75" s="6">
        <f>-FV($B$13,Табл1[[#This Row],[Период (№месяца)]],$B$11,$B$5,$B$10)/(1+$B$10*$B$13)</f>
        <v>19285.995572982123</v>
      </c>
      <c r="J75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21811.584388976044</v>
      </c>
      <c r="K75" s="6">
        <f>-($B$11*(1+$B$13*$B$10)*(1-(1+$B$13)^Табл1[[#This Row],[Период (№месяца)]])/$B$13-$B$5*((1+$B$13)^Табл1[[#This Row],[Период (№месяца)]]))/(1+$B$10*$B$13)</f>
        <v>19285.995572982181</v>
      </c>
      <c r="M75" s="20"/>
      <c r="N75" s="20"/>
    </row>
    <row r="76" spans="1:14" x14ac:dyDescent="0.25">
      <c r="A76" s="5">
        <f>IF(ROW()-ROW(Табл1[[#Headers],[Период (№месяца)]])&gt;$B$9,0,ROW()-ROW(Табл1[[#Headers],[Период (№месяца)]]))</f>
        <v>54</v>
      </c>
      <c r="B76" s="6">
        <f>$B$5+SUM($D$22:D75)</f>
        <v>19285.995572982181</v>
      </c>
      <c r="C76" s="6">
        <f t="shared" si="3"/>
        <v>-2999.9999999999982</v>
      </c>
      <c r="D76" s="6">
        <f t="shared" si="4"/>
        <v>-2580.5214407468843</v>
      </c>
      <c r="E76" s="6">
        <f t="shared" si="5"/>
        <v>-419.47855925311438</v>
      </c>
      <c r="F76" s="6">
        <f>SUM($D$23:D76)</f>
        <v>-83294.525867764707</v>
      </c>
      <c r="G76" s="6">
        <f>Табл1[[#This Row],[Тело кредита на начало периода]]+Табл1[[#This Row],[Тело кредита]]</f>
        <v>16705.474132235297</v>
      </c>
      <c r="H76" s="19">
        <f>PV($B$13,$B$9-Табл1[[#This Row],[Период (№месяца)]]+1,$B$11,$B$6,$B$10)/IF(Табл1[[#This Row],[Период (№месяца)]]=1,1,1+$B$10*$B$13)</f>
        <v>19285.995572982185</v>
      </c>
      <c r="I76" s="6">
        <f>-FV($B$13,Табл1[[#This Row],[Период (№месяца)]],$B$11,$B$5,$B$10)/(1+$B$10*$B$13)</f>
        <v>16705.474132235162</v>
      </c>
      <c r="J76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19285.995572982185</v>
      </c>
      <c r="K76" s="6">
        <f>-($B$11*(1+$B$13*$B$10)*(1-(1+$B$13)^Табл1[[#This Row],[Период (№месяца)]])/$B$13-$B$5*((1+$B$13)^Табл1[[#This Row],[Период (№месяца)]]))/(1+$B$10*$B$13)</f>
        <v>16705.474132235162</v>
      </c>
      <c r="M76" s="20"/>
      <c r="N76" s="20"/>
    </row>
    <row r="77" spans="1:14" x14ac:dyDescent="0.25">
      <c r="A77" s="5">
        <f>IF(ROW()-ROW(Табл1[[#Headers],[Период (№месяца)]])&gt;$B$9,0,ROW()-ROW(Табл1[[#Headers],[Период (№месяца)]]))</f>
        <v>55</v>
      </c>
      <c r="B77" s="6">
        <f>$B$5+SUM($D$22:D76)</f>
        <v>16705.474132235293</v>
      </c>
      <c r="C77" s="6">
        <f t="shared" si="3"/>
        <v>-2999.9999999999982</v>
      </c>
      <c r="D77" s="6">
        <f t="shared" si="4"/>
        <v>-2636.648873317838</v>
      </c>
      <c r="E77" s="6">
        <f t="shared" si="5"/>
        <v>-363.35112668216033</v>
      </c>
      <c r="F77" s="6">
        <f>SUM($D$23:D77)</f>
        <v>-85931.174741082548</v>
      </c>
      <c r="G77" s="6">
        <f>Табл1[[#This Row],[Тело кредита на начало периода]]+Табл1[[#This Row],[Тело кредита]]</f>
        <v>14068.825258917455</v>
      </c>
      <c r="H77" s="19">
        <f>PV($B$13,$B$9-Табл1[[#This Row],[Период (№месяца)]]+1,$B$11,$B$6,$B$10)/IF(Табл1[[#This Row],[Период (№месяца)]]=1,1,1+$B$10*$B$13)</f>
        <v>16705.474132235304</v>
      </c>
      <c r="I77" s="6">
        <f>-FV($B$13,Табл1[[#This Row],[Период (№месяца)]],$B$11,$B$5,$B$10)/(1+$B$10*$B$13)</f>
        <v>14068.82525891735</v>
      </c>
      <c r="J77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16705.4741322353</v>
      </c>
      <c r="K77" s="6">
        <f>-($B$11*(1+$B$13*$B$10)*(1-(1+$B$13)^Табл1[[#This Row],[Период (№месяца)]])/$B$13-$B$5*((1+$B$13)^Табл1[[#This Row],[Период (№месяца)]]))/(1+$B$10*$B$13)</f>
        <v>14068.82525891735</v>
      </c>
      <c r="M77" s="20"/>
      <c r="N77" s="20"/>
    </row>
    <row r="78" spans="1:14" x14ac:dyDescent="0.25">
      <c r="A78" s="5">
        <f>IF(ROW()-ROW(Табл1[[#Headers],[Период (№месяца)]])&gt;$B$9,0,ROW()-ROW(Табл1[[#Headers],[Период (№месяца)]]))</f>
        <v>56</v>
      </c>
      <c r="B78" s="6">
        <f>$B$5+SUM($D$22:D77)</f>
        <v>14068.825258917452</v>
      </c>
      <c r="C78" s="6">
        <f t="shared" si="3"/>
        <v>-2999.9999999999982</v>
      </c>
      <c r="D78" s="6">
        <f t="shared" si="4"/>
        <v>-2693.9971012820265</v>
      </c>
      <c r="E78" s="6">
        <f t="shared" si="5"/>
        <v>-306.00289871797168</v>
      </c>
      <c r="F78" s="6">
        <f>SUM($D$23:D78)</f>
        <v>-88625.17184236458</v>
      </c>
      <c r="G78" s="6">
        <f>Табл1[[#This Row],[Тело кредита на начало периода]]+Табл1[[#This Row],[Тело кредита]]</f>
        <v>11374.828157635426</v>
      </c>
      <c r="H78" s="19">
        <f>PV($B$13,$B$9-Табл1[[#This Row],[Период (№месяца)]]+1,$B$11,$B$6,$B$10)/IF(Табл1[[#This Row],[Период (№месяца)]]=1,1,1+$B$10*$B$13)</f>
        <v>14068.82525891745</v>
      </c>
      <c r="I78" s="6">
        <f>-FV($B$13,Табл1[[#This Row],[Период (№месяца)]],$B$11,$B$5,$B$10)/(1+$B$10*$B$13)</f>
        <v>11374.828157635347</v>
      </c>
      <c r="J78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14068.825258917446</v>
      </c>
      <c r="K78" s="6">
        <f>-($B$11*(1+$B$13*$B$10)*(1-(1+$B$13)^Табл1[[#This Row],[Период (№месяца)]])/$B$13-$B$5*((1+$B$13)^Табл1[[#This Row],[Период (№месяца)]]))/(1+$B$10*$B$13)</f>
        <v>11374.828157635347</v>
      </c>
      <c r="M78" s="20"/>
      <c r="N78" s="20"/>
    </row>
    <row r="79" spans="1:14" x14ac:dyDescent="0.25">
      <c r="A79" s="5">
        <f>IF(ROW()-ROW(Табл1[[#Headers],[Период (№месяца)]])&gt;$B$9,0,ROW()-ROW(Табл1[[#Headers],[Период (№месяца)]]))</f>
        <v>57</v>
      </c>
      <c r="B79" s="6">
        <f>$B$5+SUM($D$22:D78)</f>
        <v>11374.82815763542</v>
      </c>
      <c r="C79" s="6">
        <f t="shared" si="3"/>
        <v>-2999.9999999999982</v>
      </c>
      <c r="D79" s="6">
        <f t="shared" si="4"/>
        <v>-2752.592677455495</v>
      </c>
      <c r="E79" s="6">
        <f t="shared" si="5"/>
        <v>-247.40732254450333</v>
      </c>
      <c r="F79" s="6">
        <f>SUM($D$23:D79)</f>
        <v>-91377.764519820077</v>
      </c>
      <c r="G79" s="6">
        <f>Табл1[[#This Row],[Тело кредита на начало периода]]+Табл1[[#This Row],[Тело кредита]]</f>
        <v>8622.2354801799247</v>
      </c>
      <c r="H79" s="19">
        <f>PV($B$13,$B$9-Табл1[[#This Row],[Период (№месяца)]]+1,$B$11,$B$6,$B$10)/IF(Табл1[[#This Row],[Период (№месяца)]]=1,1,1+$B$10*$B$13)</f>
        <v>11374.828157635429</v>
      </c>
      <c r="I79" s="6">
        <f>-FV($B$13,Табл1[[#This Row],[Период (№месяца)]],$B$11,$B$5,$B$10)/(1+$B$10*$B$13)</f>
        <v>8622.2354801798356</v>
      </c>
      <c r="J79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11374.828157635431</v>
      </c>
      <c r="K79" s="6">
        <f>-($B$11*(1+$B$13*$B$10)*(1-(1+$B$13)^Табл1[[#This Row],[Период (№месяца)]])/$B$13-$B$5*((1+$B$13)^Табл1[[#This Row],[Период (№месяца)]]))/(1+$B$10*$B$13)</f>
        <v>8622.2354801798356</v>
      </c>
      <c r="M79" s="20"/>
      <c r="N79" s="20"/>
    </row>
    <row r="80" spans="1:14" x14ac:dyDescent="0.25">
      <c r="A80" s="5">
        <f>IF(ROW()-ROW(Табл1[[#Headers],[Период (№месяца)]])&gt;$B$9,0,ROW()-ROW(Табл1[[#Headers],[Период (№месяца)]]))</f>
        <v>58</v>
      </c>
      <c r="B80" s="6">
        <f>$B$5+SUM($D$22:D79)</f>
        <v>8622.2354801799229</v>
      </c>
      <c r="C80" s="6">
        <f t="shared" si="3"/>
        <v>-2999.9999999999982</v>
      </c>
      <c r="D80" s="6">
        <f t="shared" si="4"/>
        <v>-2812.4627321892658</v>
      </c>
      <c r="E80" s="6">
        <f t="shared" si="5"/>
        <v>-187.53726781073252</v>
      </c>
      <c r="F80" s="6">
        <f>SUM($D$23:D80)</f>
        <v>-94190.227252009339</v>
      </c>
      <c r="G80" s="6">
        <f>Табл1[[#This Row],[Тело кредита на начало периода]]+Табл1[[#This Row],[Тело кредита]]</f>
        <v>5809.7727479906571</v>
      </c>
      <c r="H80" s="19">
        <f>PV($B$13,$B$9-Табл1[[#This Row],[Период (№месяца)]]+1,$B$11,$B$6,$B$10)/IF(Табл1[[#This Row],[Период (№месяца)]]=1,1,1+$B$10*$B$13)</f>
        <v>8622.2354801799393</v>
      </c>
      <c r="I80" s="6">
        <f>-FV($B$13,Табл1[[#This Row],[Период (№месяца)]],$B$11,$B$5,$B$10)/(1+$B$10*$B$13)</f>
        <v>5809.7727479905589</v>
      </c>
      <c r="J80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8622.2354801799393</v>
      </c>
      <c r="K80" s="6">
        <f>-($B$11*(1+$B$13*$B$10)*(1-(1+$B$13)^Табл1[[#This Row],[Период (№месяца)]])/$B$13-$B$5*((1+$B$13)^Табл1[[#This Row],[Период (№месяца)]]))/(1+$B$10*$B$13)</f>
        <v>5809.7727479905589</v>
      </c>
      <c r="M80" s="20"/>
      <c r="N80" s="20"/>
    </row>
    <row r="81" spans="1:14" x14ac:dyDescent="0.25">
      <c r="A81" s="5">
        <f>IF(ROW()-ROW(Табл1[[#Headers],[Период (№месяца)]])&gt;$B$9,0,ROW()-ROW(Табл1[[#Headers],[Период (№месяца)]]))</f>
        <v>59</v>
      </c>
      <c r="B81" s="6">
        <f>$B$5+SUM($D$22:D80)</f>
        <v>5809.7727479906607</v>
      </c>
      <c r="C81" s="6">
        <f t="shared" si="3"/>
        <v>-2999.9999999999982</v>
      </c>
      <c r="D81" s="6">
        <f t="shared" si="4"/>
        <v>-2873.6349859309689</v>
      </c>
      <c r="E81" s="6">
        <f t="shared" si="5"/>
        <v>-126.36501406902933</v>
      </c>
      <c r="F81" s="6">
        <f>SUM($D$23:D81)</f>
        <v>-97063.86223794031</v>
      </c>
      <c r="G81" s="6">
        <f>Табл1[[#This Row],[Тело кредита на начало периода]]+Табл1[[#This Row],[Тело кредита]]</f>
        <v>2936.1377620596918</v>
      </c>
      <c r="H81" s="19">
        <f>PV($B$13,$B$9-Табл1[[#This Row],[Период (№месяца)]]+1,$B$11,$B$6,$B$10)/IF(Табл1[[#This Row],[Период (№месяца)]]=1,1,1+$B$10*$B$13)</f>
        <v>5809.7727479906625</v>
      </c>
      <c r="I81" s="6">
        <f>-FV($B$13,Табл1[[#This Row],[Период (№месяца)]],$B$11,$B$5,$B$10)/(1+$B$10*$B$13)</f>
        <v>2936.137762059574</v>
      </c>
      <c r="J81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5809.772747990668</v>
      </c>
      <c r="K81" s="6">
        <f>-($B$11*(1+$B$13*$B$10)*(1-(1+$B$13)^Табл1[[#This Row],[Период (№месяца)]])/$B$13-$B$5*((1+$B$13)^Табл1[[#This Row],[Период (№месяца)]]))/(1+$B$10*$B$13)</f>
        <v>2936.137762059574</v>
      </c>
      <c r="M81" s="20"/>
      <c r="N81" s="20"/>
    </row>
    <row r="82" spans="1:14" x14ac:dyDescent="0.25">
      <c r="A82" s="5">
        <f>IF(ROW()-ROW(Табл1[[#Headers],[Период (№месяца)]])&gt;$B$9,0,ROW()-ROW(Табл1[[#Headers],[Период (№месяца)]]))</f>
        <v>60</v>
      </c>
      <c r="B82" s="6">
        <f>$B$5+SUM($D$22:D81)</f>
        <v>2936.1377620596904</v>
      </c>
      <c r="C82" s="6">
        <f t="shared" si="3"/>
        <v>-2999.9999999999982</v>
      </c>
      <c r="D82" s="6">
        <f t="shared" si="4"/>
        <v>-2936.1377620596932</v>
      </c>
      <c r="E82" s="6">
        <f t="shared" si="5"/>
        <v>-63.862237940305363</v>
      </c>
      <c r="F82" s="6">
        <f>SUM($D$23:D82)</f>
        <v>-100000</v>
      </c>
      <c r="G82" s="6">
        <f>Табл1[[#This Row],[Тело кредита на начало периода]]+Табл1[[#This Row],[Тело кредита]]</f>
        <v>0</v>
      </c>
      <c r="H82" s="19">
        <f>PV($B$13,$B$9-Табл1[[#This Row],[Период (№месяца)]]+1,$B$11,$B$6,$B$10)/IF(Табл1[[#This Row],[Период (№месяца)]]=1,1,1+$B$10*$B$13)</f>
        <v>2936.1377620596904</v>
      </c>
      <c r="I82" s="6">
        <f>-FV($B$13,Табл1[[#This Row],[Период (№месяца)]],$B$11,$B$5,$B$10)/(1+$B$10*$B$13)</f>
        <v>-5.8207660913467407E-11</v>
      </c>
      <c r="J82" s="6">
        <f>-(($B$11*(1+$B$13*$B$10)/$B$13)*(1-(1+$B$13)^(Табл1[[#This Row],[Период (№месяца)]]-1-$B$9))+$B$6*((1+$B$13)^(Табл1[[#This Row],[Период (№месяца)]]-1-$B$9)))/IF(Табл1[[#This Row],[Период (№месяца)]]=1,1,1+$B$10*$B$13)</f>
        <v>2936.1377620596968</v>
      </c>
      <c r="K82" s="6">
        <f>-($B$11*(1+$B$13*$B$10)*(1-(1+$B$13)^Табл1[[#This Row],[Период (№месяца)]])/$B$13-$B$5*((1+$B$13)^Табл1[[#This Row],[Период (№месяца)]]))/(1+$B$10*$B$13)</f>
        <v>-1.1641532182693481E-10</v>
      </c>
      <c r="M82" s="20"/>
      <c r="N82" s="20"/>
    </row>
    <row r="83" spans="1:14" x14ac:dyDescent="0.25">
      <c r="A83" t="s">
        <v>30</v>
      </c>
      <c r="C83" s="22">
        <f>SUBTOTAL(109,Табл1[Регулярный платеж])</f>
        <v>-179999.99999999997</v>
      </c>
      <c r="D83" s="22">
        <f>SUBTOTAL(109,Табл1[Тело кредита])</f>
        <v>-100000</v>
      </c>
      <c r="E83" s="22">
        <f>SUBTOTAL(109,Табл1[Процент к уплате])</f>
        <v>-79999.999999999913</v>
      </c>
      <c r="F83" s="6"/>
      <c r="G83" s="6"/>
    </row>
  </sheetData>
  <conditionalFormatting sqref="C16">
    <cfRule type="expression" dxfId="34" priority="2">
      <formula>-$B$16&lt;($B$5+$B$6)</formula>
    </cfRule>
  </conditionalFormatting>
  <conditionalFormatting sqref="B13:B14">
    <cfRule type="expression" dxfId="33" priority="1">
      <formula>$B$13&lt;0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9"/>
  <sheetViews>
    <sheetView workbookViewId="0">
      <selection activeCell="D30" sqref="D30"/>
    </sheetView>
  </sheetViews>
  <sheetFormatPr defaultRowHeight="15" x14ac:dyDescent="0.25"/>
  <cols>
    <col min="1" max="1" width="10.7109375" customWidth="1"/>
  </cols>
  <sheetData>
    <row r="1" spans="1:4" x14ac:dyDescent="0.25">
      <c r="A1" s="36" t="s">
        <v>5</v>
      </c>
      <c r="B1" s="37"/>
      <c r="C1" s="38"/>
    </row>
    <row r="3" spans="1:4" x14ac:dyDescent="0.25">
      <c r="B3" s="39" t="s">
        <v>3</v>
      </c>
      <c r="C3" s="40"/>
      <c r="D3" s="41"/>
    </row>
    <row r="4" spans="1:4" x14ac:dyDescent="0.25">
      <c r="A4" s="42" t="s">
        <v>2</v>
      </c>
      <c r="B4" s="45" t="s">
        <v>4</v>
      </c>
      <c r="C4" s="46"/>
      <c r="D4" s="47"/>
    </row>
    <row r="5" spans="1:4" x14ac:dyDescent="0.25">
      <c r="A5" s="43"/>
      <c r="B5" s="48"/>
      <c r="C5" s="49"/>
      <c r="D5" s="50"/>
    </row>
    <row r="6" spans="1:4" x14ac:dyDescent="0.25">
      <c r="A6" s="43"/>
      <c r="B6" s="48"/>
      <c r="C6" s="49"/>
      <c r="D6" s="50"/>
    </row>
    <row r="7" spans="1:4" x14ac:dyDescent="0.25">
      <c r="A7" s="43"/>
      <c r="B7" s="48"/>
      <c r="C7" s="49"/>
      <c r="D7" s="50"/>
    </row>
    <row r="8" spans="1:4" x14ac:dyDescent="0.25">
      <c r="A8" s="43"/>
      <c r="B8" s="48"/>
      <c r="C8" s="49"/>
      <c r="D8" s="50"/>
    </row>
    <row r="9" spans="1:4" x14ac:dyDescent="0.25">
      <c r="A9" s="44"/>
      <c r="B9" s="51"/>
      <c r="C9" s="52"/>
      <c r="D9" s="53"/>
    </row>
  </sheetData>
  <mergeCells count="4">
    <mergeCell ref="A1:C1"/>
    <mergeCell ref="B3:D3"/>
    <mergeCell ref="A4:A9"/>
    <mergeCell ref="B4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54" t="s">
        <v>75</v>
      </c>
      <c r="B1" s="54"/>
      <c r="C1" s="54"/>
      <c r="D1" s="54"/>
      <c r="E1" s="54"/>
      <c r="F1" s="54"/>
      <c r="G1" s="54"/>
    </row>
    <row r="2" spans="1:7" ht="107.25" customHeight="1" x14ac:dyDescent="0.25">
      <c r="A2" s="35" t="s">
        <v>76</v>
      </c>
    </row>
    <row r="3" spans="1:7" ht="105" customHeight="1" x14ac:dyDescent="0.25">
      <c r="A3" s="35" t="s">
        <v>77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54" t="s">
        <v>75</v>
      </c>
      <c r="B1" s="54"/>
      <c r="C1" s="54"/>
      <c r="D1" s="54"/>
      <c r="E1" s="54"/>
      <c r="F1" s="54"/>
      <c r="G1" s="54"/>
    </row>
    <row r="2" spans="1:7" ht="107.25" customHeight="1" x14ac:dyDescent="0.25">
      <c r="A2" s="35" t="s">
        <v>76</v>
      </c>
    </row>
    <row r="3" spans="1:7" ht="105" customHeight="1" x14ac:dyDescent="0.25">
      <c r="A3" s="35" t="s">
        <v>77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U83"/>
  <sheetViews>
    <sheetView zoomScale="85" zoomScaleNormal="85" workbookViewId="0">
      <selection activeCell="B11" sqref="B11"/>
    </sheetView>
  </sheetViews>
  <sheetFormatPr defaultRowHeight="15" x14ac:dyDescent="0.25"/>
  <cols>
    <col min="1" max="1" width="23.140625" customWidth="1"/>
    <col min="2" max="2" width="17.85546875" customWidth="1"/>
    <col min="3" max="3" width="13.42578125" customWidth="1"/>
    <col min="4" max="4" width="14.5703125" customWidth="1"/>
    <col min="5" max="5" width="15.42578125" customWidth="1"/>
    <col min="6" max="6" width="16.85546875" customWidth="1"/>
    <col min="7" max="7" width="19.140625" customWidth="1"/>
    <col min="8" max="8" width="15.5703125" customWidth="1"/>
    <col min="9" max="9" width="19.140625" customWidth="1"/>
    <col min="10" max="10" width="14.28515625" customWidth="1"/>
    <col min="11" max="11" width="24.85546875" customWidth="1"/>
    <col min="12" max="12" width="26" customWidth="1"/>
    <col min="13" max="13" width="21.28515625" customWidth="1"/>
    <col min="14" max="14" width="13.42578125" customWidth="1"/>
    <col min="15" max="15" width="13.85546875" customWidth="1"/>
    <col min="16" max="16" width="13" customWidth="1"/>
    <col min="17" max="18" width="12.5703125" bestFit="1" customWidth="1"/>
  </cols>
  <sheetData>
    <row r="1" spans="1:8" ht="16.5" x14ac:dyDescent="0.3">
      <c r="A1" s="3" t="s">
        <v>0</v>
      </c>
      <c r="B1" s="3"/>
      <c r="C1" s="3"/>
      <c r="D1" s="4" t="s">
        <v>1</v>
      </c>
    </row>
    <row r="2" spans="1:8" x14ac:dyDescent="0.25">
      <c r="A2" s="1" t="s">
        <v>40</v>
      </c>
      <c r="F2" s="8"/>
    </row>
    <row r="3" spans="1:8" x14ac:dyDescent="0.25">
      <c r="A3" s="26" t="s">
        <v>41</v>
      </c>
      <c r="F3" s="8"/>
    </row>
    <row r="4" spans="1:8" x14ac:dyDescent="0.25">
      <c r="A4" s="10" t="s">
        <v>22</v>
      </c>
      <c r="B4" s="10" t="s">
        <v>23</v>
      </c>
      <c r="C4" s="10" t="s">
        <v>37</v>
      </c>
      <c r="D4" s="10"/>
      <c r="E4" s="10" t="s">
        <v>24</v>
      </c>
      <c r="F4" s="8"/>
    </row>
    <row r="5" spans="1:8" ht="60" x14ac:dyDescent="0.25">
      <c r="A5" s="27" t="s">
        <v>55</v>
      </c>
      <c r="B5" s="13">
        <v>0</v>
      </c>
      <c r="C5" s="7" t="s">
        <v>13</v>
      </c>
      <c r="D5" s="7" t="s">
        <v>12</v>
      </c>
      <c r="E5" s="7" t="s">
        <v>56</v>
      </c>
      <c r="F5" s="8"/>
    </row>
    <row r="6" spans="1:8" ht="60" x14ac:dyDescent="0.25">
      <c r="A6" s="27" t="s">
        <v>45</v>
      </c>
      <c r="B6" s="13">
        <v>1000000</v>
      </c>
      <c r="C6" s="7" t="s">
        <v>10</v>
      </c>
      <c r="D6" s="7" t="s">
        <v>9</v>
      </c>
      <c r="E6" s="7" t="s">
        <v>8</v>
      </c>
      <c r="F6" s="8"/>
    </row>
    <row r="7" spans="1:8" x14ac:dyDescent="0.25">
      <c r="A7" s="7" t="s">
        <v>43</v>
      </c>
      <c r="B7" s="18">
        <v>5</v>
      </c>
      <c r="C7" s="7"/>
      <c r="D7" s="7"/>
      <c r="E7" s="7"/>
      <c r="F7" s="8"/>
      <c r="H7" s="6"/>
    </row>
    <row r="8" spans="1:8" x14ac:dyDescent="0.25">
      <c r="A8" s="7" t="s">
        <v>44</v>
      </c>
      <c r="B8" s="17">
        <v>12</v>
      </c>
      <c r="C8" s="7"/>
      <c r="D8" s="7"/>
      <c r="E8" s="7"/>
      <c r="F8" s="8"/>
    </row>
    <row r="9" spans="1:8" x14ac:dyDescent="0.25">
      <c r="A9" s="7" t="s">
        <v>17</v>
      </c>
      <c r="B9" s="15">
        <f>B7*B8</f>
        <v>60</v>
      </c>
      <c r="C9" s="7" t="s">
        <v>16</v>
      </c>
      <c r="D9" s="7" t="s">
        <v>15</v>
      </c>
      <c r="E9" s="7" t="s">
        <v>14</v>
      </c>
      <c r="F9" s="8"/>
    </row>
    <row r="10" spans="1:8" x14ac:dyDescent="0.25">
      <c r="A10" s="7" t="s">
        <v>21</v>
      </c>
      <c r="B10" s="9">
        <v>0</v>
      </c>
      <c r="C10" s="7" t="s">
        <v>7</v>
      </c>
      <c r="D10" s="7" t="s">
        <v>6</v>
      </c>
      <c r="E10" s="7" t="s">
        <v>32</v>
      </c>
      <c r="F10" s="8"/>
      <c r="H10" s="6"/>
    </row>
    <row r="11" spans="1:8" x14ac:dyDescent="0.25">
      <c r="A11" s="25" t="s">
        <v>42</v>
      </c>
      <c r="B11" s="11">
        <v>-10000</v>
      </c>
      <c r="C11" s="24" t="s">
        <v>38</v>
      </c>
      <c r="D11" s="24" t="s">
        <v>39</v>
      </c>
      <c r="E11" s="7"/>
      <c r="F11" s="8"/>
      <c r="H11" s="6"/>
    </row>
    <row r="12" spans="1:8" x14ac:dyDescent="0.25">
      <c r="F12" s="8"/>
      <c r="H12" s="6"/>
    </row>
    <row r="13" spans="1:8" x14ac:dyDescent="0.25">
      <c r="A13" s="7" t="s">
        <v>64</v>
      </c>
      <c r="B13" s="16">
        <f>RATE(B9,B11,B5,B6,B10)</f>
        <v>1.6150265997982659E-2</v>
      </c>
      <c r="C13" s="7" t="s">
        <v>20</v>
      </c>
      <c r="D13" s="7" t="s">
        <v>19</v>
      </c>
      <c r="E13" s="7" t="s">
        <v>18</v>
      </c>
      <c r="F13" s="8"/>
    </row>
    <row r="14" spans="1:8" x14ac:dyDescent="0.25">
      <c r="A14" s="7" t="s">
        <v>65</v>
      </c>
      <c r="B14" s="16">
        <f>B13*B8</f>
        <v>0.19380319197579191</v>
      </c>
    </row>
    <row r="16" spans="1:8" ht="30" x14ac:dyDescent="0.25">
      <c r="A16" s="28" t="s">
        <v>46</v>
      </c>
      <c r="B16" s="11">
        <f>B11*B9</f>
        <v>-600000</v>
      </c>
      <c r="C16" s="32" t="s">
        <v>63</v>
      </c>
      <c r="D16" s="12"/>
    </row>
    <row r="17" spans="1:15" ht="30" x14ac:dyDescent="0.25">
      <c r="A17" s="28" t="s">
        <v>47</v>
      </c>
      <c r="B17" s="11">
        <f ca="1">SUMPRODUCT(IPMT(B13,ROW(INDIRECT("1:"&amp;B9)),B9,B5,B6,B10))</f>
        <v>399999.99999999889</v>
      </c>
      <c r="D17" s="12"/>
      <c r="G17" s="12"/>
      <c r="H17" s="23"/>
      <c r="I17" s="23"/>
    </row>
    <row r="18" spans="1:15" x14ac:dyDescent="0.25">
      <c r="A18" s="28" t="s">
        <v>48</v>
      </c>
      <c r="B18" s="11">
        <f ca="1">B16-B17</f>
        <v>-999999.99999999884</v>
      </c>
      <c r="D18" s="12"/>
      <c r="E18" s="20"/>
      <c r="G18" s="12"/>
      <c r="H18" s="23"/>
      <c r="I18" s="23"/>
    </row>
    <row r="19" spans="1:15" x14ac:dyDescent="0.25">
      <c r="D19" s="12"/>
      <c r="E19" s="20"/>
      <c r="F19" s="20"/>
      <c r="G19" s="12"/>
      <c r="H19" s="23"/>
      <c r="I19" s="23"/>
    </row>
    <row r="20" spans="1:15" ht="30.75" customHeight="1" x14ac:dyDescent="0.25">
      <c r="A20" s="1" t="s">
        <v>52</v>
      </c>
      <c r="C20" s="12"/>
      <c r="D20" s="12"/>
      <c r="I20" s="1" t="s">
        <v>57</v>
      </c>
    </row>
    <row r="21" spans="1:15" hidden="1" x14ac:dyDescent="0.25">
      <c r="A21" s="1"/>
    </row>
    <row r="22" spans="1:15" ht="75" x14ac:dyDescent="0.25">
      <c r="A22" s="14" t="s">
        <v>27</v>
      </c>
      <c r="B22" s="14" t="s">
        <v>28</v>
      </c>
      <c r="C22" s="14" t="s">
        <v>49</v>
      </c>
      <c r="D22" s="29" t="s">
        <v>51</v>
      </c>
      <c r="E22" s="14" t="s">
        <v>50</v>
      </c>
      <c r="F22" s="29" t="s">
        <v>53</v>
      </c>
      <c r="G22" s="14" t="s">
        <v>54</v>
      </c>
      <c r="I22" s="31" t="s">
        <v>49</v>
      </c>
      <c r="J22" s="31" t="s">
        <v>51</v>
      </c>
      <c r="K22" s="31" t="s">
        <v>54</v>
      </c>
      <c r="L22" s="31" t="s">
        <v>58</v>
      </c>
      <c r="M22" s="31" t="s">
        <v>59</v>
      </c>
      <c r="N22" s="30"/>
    </row>
    <row r="23" spans="1:15" x14ac:dyDescent="0.25">
      <c r="A23" s="5">
        <f>IF(ROW()-ROW(Табл12[[#Headers],[Период (№месяца)]])&gt;$B$9,0,ROW()-ROW(Табл12[[#Headers],[Период (№месяца)]]))</f>
        <v>1</v>
      </c>
      <c r="B23" s="6">
        <f>$B$5+SUM($E$22:E22)</f>
        <v>0</v>
      </c>
      <c r="C23" s="6">
        <f t="shared" ref="C23:C54" si="0">PMT($B$13,$B$9,$B$5,$B$6,$B$10)</f>
        <v>-10000.00000000002</v>
      </c>
      <c r="D23" s="6">
        <f t="shared" ref="D23:D54" si="1">IPMT($B$13,A23,$B$9,$B$5,$B$6,$B$10)</f>
        <v>0</v>
      </c>
      <c r="E23" s="6">
        <f t="shared" ref="E23:E54" si="2">PPMT($B$13,A23,$B$9,$B$5,$B$6,$B$10)</f>
        <v>-10000.00000000002</v>
      </c>
      <c r="F23" s="6">
        <f>SUM($E$22:E23)+$B$5</f>
        <v>-10000.00000000002</v>
      </c>
      <c r="G23" s="6">
        <f>Табл12[[#This Row],[Регулярный взнос]]*Табл12[[#This Row],[Период (№месяца)]]</f>
        <v>-10000.00000000002</v>
      </c>
      <c r="I23" s="21">
        <f>-Табл12[[#This Row],[Регулярный взнос]]</f>
        <v>10000.00000000002</v>
      </c>
      <c r="J23" s="21">
        <f>Табл12[[#This Row],[Начисленный % за период]]</f>
        <v>0</v>
      </c>
      <c r="K23" s="21">
        <f>I23*Табл12[[#This Row],[Период (№месяца)]]</f>
        <v>10000.00000000002</v>
      </c>
      <c r="L23" s="21">
        <f>SUM($J$22:J23)</f>
        <v>0</v>
      </c>
      <c r="M23" s="21">
        <f>-$B$5</f>
        <v>0</v>
      </c>
      <c r="N23" s="20"/>
      <c r="O23" s="20"/>
    </row>
    <row r="24" spans="1:15" x14ac:dyDescent="0.25">
      <c r="A24" s="5">
        <f>IF(ROW()-ROW(Табл12[[#Headers],[Период (№месяца)]])&gt;$B$9,0,ROW()-ROW(Табл12[[#Headers],[Период (№месяца)]]))</f>
        <v>2</v>
      </c>
      <c r="B24" s="6">
        <f>$B$5+SUM($E$22:E23)</f>
        <v>-10000.00000000002</v>
      </c>
      <c r="C24" s="6">
        <f t="shared" si="0"/>
        <v>-10000.00000000002</v>
      </c>
      <c r="D24" s="6">
        <f t="shared" si="1"/>
        <v>161.50265997982657</v>
      </c>
      <c r="E24" s="6">
        <f t="shared" si="2"/>
        <v>-10161.502659979849</v>
      </c>
      <c r="F24" s="6">
        <f>SUM($E$22:E24)+$B$5</f>
        <v>-20161.502659979869</v>
      </c>
      <c r="G24" s="6">
        <f>Табл12[[#This Row],[Регулярный взнос]]*Табл12[[#This Row],[Период (№месяца)]]</f>
        <v>-20000.00000000004</v>
      </c>
      <c r="I24" s="21">
        <f>-Табл12[[#This Row],[Регулярный взнос]]</f>
        <v>10000.00000000002</v>
      </c>
      <c r="J24" s="21">
        <f>Табл12[[#This Row],[Начисленный % за период]]</f>
        <v>161.50265997982657</v>
      </c>
      <c r="K24" s="21">
        <f>I24*Табл12[[#This Row],[Период (№месяца)]]</f>
        <v>20000.00000000004</v>
      </c>
      <c r="L24" s="21">
        <f>SUM($J$22:J24)</f>
        <v>161.50265997982657</v>
      </c>
      <c r="M24" s="21">
        <f t="shared" ref="M24:M82" si="3">-$B$5</f>
        <v>0</v>
      </c>
      <c r="N24" s="20"/>
      <c r="O24" s="20"/>
    </row>
    <row r="25" spans="1:15" x14ac:dyDescent="0.25">
      <c r="A25" s="5">
        <f>IF(ROW()-ROW(Табл12[[#Headers],[Период (№месяца)]])&gt;$B$9,0,ROW()-ROW(Табл12[[#Headers],[Период (№месяца)]]))</f>
        <v>3</v>
      </c>
      <c r="B25" s="6">
        <f>$B$5+SUM($E$22:E24)</f>
        <v>-20161.502659979869</v>
      </c>
      <c r="C25" s="6">
        <f t="shared" si="0"/>
        <v>-10000.00000000002</v>
      </c>
      <c r="D25" s="6">
        <f t="shared" si="1"/>
        <v>325.61363087771338</v>
      </c>
      <c r="E25" s="6">
        <f t="shared" si="2"/>
        <v>-10325.613630877731</v>
      </c>
      <c r="F25" s="6">
        <f>SUM($E$22:E25)+$B$5</f>
        <v>-30487.116290857601</v>
      </c>
      <c r="G25" s="6">
        <f>Табл12[[#This Row],[Регулярный взнос]]*Табл12[[#This Row],[Период (№месяца)]]</f>
        <v>-30000.000000000058</v>
      </c>
      <c r="I25" s="21">
        <f>-Табл12[[#This Row],[Регулярный взнос]]</f>
        <v>10000.00000000002</v>
      </c>
      <c r="J25" s="21">
        <f>Табл12[[#This Row],[Начисленный % за период]]</f>
        <v>325.61363087771338</v>
      </c>
      <c r="K25" s="21">
        <f>I25*Табл12[[#This Row],[Период (№месяца)]]</f>
        <v>30000.000000000058</v>
      </c>
      <c r="L25" s="21">
        <f>SUM($J$22:J25)</f>
        <v>487.11629085753998</v>
      </c>
      <c r="M25" s="21">
        <f t="shared" si="3"/>
        <v>0</v>
      </c>
      <c r="N25" s="20"/>
      <c r="O25" s="20"/>
    </row>
    <row r="26" spans="1:15" x14ac:dyDescent="0.25">
      <c r="A26" s="5">
        <f>IF(ROW()-ROW(Табл12[[#Headers],[Период (№месяца)]])&gt;$B$9,0,ROW()-ROW(Табл12[[#Headers],[Период (№месяца)]]))</f>
        <v>4</v>
      </c>
      <c r="B26" s="6">
        <f>$B$5+SUM($E$22:E25)</f>
        <v>-30487.116290857601</v>
      </c>
      <c r="C26" s="6">
        <f t="shared" si="0"/>
        <v>-10000.00000000002</v>
      </c>
      <c r="D26" s="6">
        <f t="shared" si="1"/>
        <v>492.37503760878178</v>
      </c>
      <c r="E26" s="6">
        <f t="shared" si="2"/>
        <v>-10492.375037608803</v>
      </c>
      <c r="F26" s="6">
        <f>SUM($E$22:E26)+$B$5</f>
        <v>-40979.491328466407</v>
      </c>
      <c r="G26" s="6">
        <f>Табл12[[#This Row],[Регулярный взнос]]*Табл12[[#This Row],[Период (№месяца)]]</f>
        <v>-40000.00000000008</v>
      </c>
      <c r="I26" s="21">
        <f>-Табл12[[#This Row],[Регулярный взнос]]</f>
        <v>10000.00000000002</v>
      </c>
      <c r="J26" s="21">
        <f>Табл12[[#This Row],[Начисленный % за период]]</f>
        <v>492.37503760878178</v>
      </c>
      <c r="K26" s="21">
        <f>I26*Табл12[[#This Row],[Период (№месяца)]]</f>
        <v>40000.00000000008</v>
      </c>
      <c r="L26" s="21">
        <f>SUM($J$22:J26)</f>
        <v>979.49132846632176</v>
      </c>
      <c r="M26" s="21">
        <f t="shared" si="3"/>
        <v>0</v>
      </c>
      <c r="N26" s="20"/>
      <c r="O26" s="20"/>
    </row>
    <row r="27" spans="1:15" x14ac:dyDescent="0.25">
      <c r="A27" s="5">
        <f>IF(ROW()-ROW(Табл12[[#Headers],[Период (№месяца)]])&gt;$B$9,0,ROW()-ROW(Табл12[[#Headers],[Период (№месяца)]]))</f>
        <v>5</v>
      </c>
      <c r="B27" s="6">
        <f>$B$5+SUM($E$22:E26)</f>
        <v>-40979.491328466407</v>
      </c>
      <c r="C27" s="6">
        <f t="shared" si="0"/>
        <v>-10000.00000000002</v>
      </c>
      <c r="D27" s="6">
        <f t="shared" si="1"/>
        <v>661.82968541675689</v>
      </c>
      <c r="E27" s="6">
        <f t="shared" si="2"/>
        <v>-10661.829685416778</v>
      </c>
      <c r="F27" s="6">
        <f>SUM($E$22:E27)+$B$5</f>
        <v>-51641.321013883186</v>
      </c>
      <c r="G27" s="6">
        <f>Табл12[[#This Row],[Регулярный взнос]]*Табл12[[#This Row],[Период (№месяца)]]</f>
        <v>-50000.000000000102</v>
      </c>
      <c r="I27" s="21">
        <f>-Табл12[[#This Row],[Регулярный взнос]]</f>
        <v>10000.00000000002</v>
      </c>
      <c r="J27" s="21">
        <f>Табл12[[#This Row],[Начисленный % за период]]</f>
        <v>661.82968541675689</v>
      </c>
      <c r="K27" s="21">
        <f>I27*Табл12[[#This Row],[Период (№месяца)]]</f>
        <v>50000.000000000102</v>
      </c>
      <c r="L27" s="21">
        <f>SUM($J$22:J27)</f>
        <v>1641.3210138830786</v>
      </c>
      <c r="M27" s="21">
        <f t="shared" si="3"/>
        <v>0</v>
      </c>
      <c r="N27" s="20"/>
      <c r="O27" s="20"/>
    </row>
    <row r="28" spans="1:15" x14ac:dyDescent="0.25">
      <c r="A28" s="5">
        <f>IF(ROW()-ROW(Табл12[[#Headers],[Период (№месяца)]])&gt;$B$9,0,ROW()-ROW(Табл12[[#Headers],[Период (№месяца)]]))</f>
        <v>6</v>
      </c>
      <c r="B28" s="6">
        <f>$B$5+SUM($E$22:E27)</f>
        <v>-51641.321013883186</v>
      </c>
      <c r="C28" s="6">
        <f t="shared" si="0"/>
        <v>-10000.00000000002</v>
      </c>
      <c r="D28" s="6">
        <f t="shared" si="1"/>
        <v>834.02107086142371</v>
      </c>
      <c r="E28" s="6">
        <f t="shared" si="2"/>
        <v>-10834.021070861447</v>
      </c>
      <c r="F28" s="6">
        <f>SUM($E$22:E28)+$B$5</f>
        <v>-62475.342084744632</v>
      </c>
      <c r="G28" s="6">
        <f>Табл12[[#This Row],[Регулярный взнос]]*Табл12[[#This Row],[Период (№месяца)]]</f>
        <v>-60000.000000000116</v>
      </c>
      <c r="I28" s="21">
        <f>-Табл12[[#This Row],[Регулярный взнос]]</f>
        <v>10000.00000000002</v>
      </c>
      <c r="J28" s="21">
        <f>Табл12[[#This Row],[Начисленный % за период]]</f>
        <v>834.02107086142371</v>
      </c>
      <c r="K28" s="21">
        <f>I28*Табл12[[#This Row],[Период (№месяца)]]</f>
        <v>60000.000000000116</v>
      </c>
      <c r="L28" s="21">
        <f>SUM($J$22:J28)</f>
        <v>2475.3420847445022</v>
      </c>
      <c r="M28" s="21">
        <f t="shared" si="3"/>
        <v>0</v>
      </c>
      <c r="N28" s="20"/>
      <c r="O28" s="20"/>
    </row>
    <row r="29" spans="1:15" x14ac:dyDescent="0.25">
      <c r="A29" s="5">
        <f>IF(ROW()-ROW(Табл12[[#Headers],[Период (№месяца)]])&gt;$B$9,0,ROW()-ROW(Табл12[[#Headers],[Период (№месяца)]]))</f>
        <v>7</v>
      </c>
      <c r="B29" s="6">
        <f>$B$5+SUM($E$22:E28)</f>
        <v>-62475.342084744632</v>
      </c>
      <c r="C29" s="6">
        <f t="shared" si="0"/>
        <v>-10000.00000000002</v>
      </c>
      <c r="D29" s="6">
        <f t="shared" si="1"/>
        <v>1008.9933929835856</v>
      </c>
      <c r="E29" s="6">
        <f t="shared" si="2"/>
        <v>-11008.993392983608</v>
      </c>
      <c r="F29" s="6">
        <f>SUM($E$22:E29)+$B$5</f>
        <v>-73484.335477728237</v>
      </c>
      <c r="G29" s="6">
        <f>Табл12[[#This Row],[Регулярный взнос]]*Табл12[[#This Row],[Период (№месяца)]]</f>
        <v>-70000.000000000146</v>
      </c>
      <c r="I29" s="21">
        <f>-Табл12[[#This Row],[Регулярный взнос]]</f>
        <v>10000.00000000002</v>
      </c>
      <c r="J29" s="21">
        <f>Табл12[[#This Row],[Начисленный % за период]]</f>
        <v>1008.9933929835856</v>
      </c>
      <c r="K29" s="21">
        <f>I29*Табл12[[#This Row],[Период (№месяца)]]</f>
        <v>70000.000000000146</v>
      </c>
      <c r="L29" s="21">
        <f>SUM($J$22:J29)</f>
        <v>3484.3354777280879</v>
      </c>
      <c r="M29" s="21">
        <f t="shared" si="3"/>
        <v>0</v>
      </c>
      <c r="N29" s="20"/>
      <c r="O29" s="20"/>
    </row>
    <row r="30" spans="1:15" x14ac:dyDescent="0.25">
      <c r="A30" s="5">
        <f>IF(ROW()-ROW(Табл12[[#Headers],[Период (№месяца)]])&gt;$B$9,0,ROW()-ROW(Табл12[[#Headers],[Период (№месяца)]]))</f>
        <v>8</v>
      </c>
      <c r="B30" s="6">
        <f>$B$5+SUM($E$22:E29)</f>
        <v>-73484.335477728237</v>
      </c>
      <c r="C30" s="6">
        <f t="shared" si="0"/>
        <v>-10000.00000000002</v>
      </c>
      <c r="D30" s="6">
        <f t="shared" si="1"/>
        <v>1186.7915646503077</v>
      </c>
      <c r="E30" s="6">
        <f t="shared" si="2"/>
        <v>-11186.791564650326</v>
      </c>
      <c r="F30" s="6">
        <f>SUM($E$22:E30)+$B$5</f>
        <v>-84671.127042378561</v>
      </c>
      <c r="G30" s="6">
        <f>Табл12[[#This Row],[Регулярный взнос]]*Табл12[[#This Row],[Период (№месяца)]]</f>
        <v>-80000.00000000016</v>
      </c>
      <c r="I30" s="21">
        <f>-Табл12[[#This Row],[Регулярный взнос]]</f>
        <v>10000.00000000002</v>
      </c>
      <c r="J30" s="21">
        <f>Табл12[[#This Row],[Начисленный % за период]]</f>
        <v>1186.7915646503077</v>
      </c>
      <c r="K30" s="21">
        <f>I30*Табл12[[#This Row],[Период (№месяца)]]</f>
        <v>80000.00000000016</v>
      </c>
      <c r="L30" s="21">
        <f>SUM($J$22:J30)</f>
        <v>4671.1270423783953</v>
      </c>
      <c r="M30" s="21">
        <f t="shared" si="3"/>
        <v>0</v>
      </c>
      <c r="N30" s="20"/>
      <c r="O30" s="20"/>
    </row>
    <row r="31" spans="1:15" x14ac:dyDescent="0.25">
      <c r="A31" s="5">
        <f>IF(ROW()-ROW(Табл12[[#Headers],[Период (№месяца)]])&gt;$B$9,0,ROW()-ROW(Табл12[[#Headers],[Период (№месяца)]]))</f>
        <v>9</v>
      </c>
      <c r="B31" s="6">
        <f>$B$5+SUM($E$22:E30)</f>
        <v>-84671.127042378561</v>
      </c>
      <c r="C31" s="6">
        <f t="shared" si="0"/>
        <v>-10000.00000000002</v>
      </c>
      <c r="D31" s="6">
        <f t="shared" si="1"/>
        <v>1367.461224083396</v>
      </c>
      <c r="E31" s="6">
        <f t="shared" si="2"/>
        <v>-11367.461224083419</v>
      </c>
      <c r="F31" s="6">
        <f>SUM($E$22:E31)+$B$5</f>
        <v>-96038.588266461986</v>
      </c>
      <c r="G31" s="6">
        <f>Табл12[[#This Row],[Регулярный взнос]]*Табл12[[#This Row],[Период (№месяца)]]</f>
        <v>-90000.000000000175</v>
      </c>
      <c r="I31" s="21">
        <f>-Табл12[[#This Row],[Регулярный взнос]]</f>
        <v>10000.00000000002</v>
      </c>
      <c r="J31" s="21">
        <f>Табл12[[#This Row],[Начисленный % за период]]</f>
        <v>1367.461224083396</v>
      </c>
      <c r="K31" s="21">
        <f>I31*Табл12[[#This Row],[Период (№месяца)]]</f>
        <v>90000.000000000175</v>
      </c>
      <c r="L31" s="21">
        <f>SUM($J$22:J31)</f>
        <v>6038.5882664617911</v>
      </c>
      <c r="M31" s="21">
        <f t="shared" si="3"/>
        <v>0</v>
      </c>
      <c r="N31" s="20"/>
      <c r="O31" s="20"/>
    </row>
    <row r="32" spans="1:15" x14ac:dyDescent="0.25">
      <c r="A32" s="5">
        <f>IF(ROW()-ROW(Табл12[[#Headers],[Период (№месяца)]])&gt;$B$9,0,ROW()-ROW(Табл12[[#Headers],[Период (№месяца)]]))</f>
        <v>10</v>
      </c>
      <c r="B32" s="6">
        <f>$B$5+SUM($E$22:E31)</f>
        <v>-96038.588266461986</v>
      </c>
      <c r="C32" s="6">
        <f t="shared" si="0"/>
        <v>-10000.00000000002</v>
      </c>
      <c r="D32" s="6">
        <f t="shared" si="1"/>
        <v>1551.0487465740971</v>
      </c>
      <c r="E32" s="6">
        <f t="shared" si="2"/>
        <v>-11551.048746574117</v>
      </c>
      <c r="F32" s="6">
        <f>SUM($E$22:E32)+$B$5</f>
        <v>-107589.6370130361</v>
      </c>
      <c r="G32" s="6">
        <f>Табл12[[#This Row],[Регулярный взнос]]*Табл12[[#This Row],[Период (№месяца)]]</f>
        <v>-100000.0000000002</v>
      </c>
      <c r="I32" s="21">
        <f>-Табл12[[#This Row],[Регулярный взнос]]</f>
        <v>10000.00000000002</v>
      </c>
      <c r="J32" s="21">
        <f>Табл12[[#This Row],[Начисленный % за период]]</f>
        <v>1551.0487465740971</v>
      </c>
      <c r="K32" s="21">
        <f>I32*Табл12[[#This Row],[Период (№месяца)]]</f>
        <v>100000.0000000002</v>
      </c>
      <c r="L32" s="21">
        <f>SUM($J$22:J32)</f>
        <v>7589.6370130358882</v>
      </c>
      <c r="M32" s="21">
        <f t="shared" si="3"/>
        <v>0</v>
      </c>
      <c r="N32" s="20"/>
    </row>
    <row r="33" spans="1:21" x14ac:dyDescent="0.25">
      <c r="A33" s="5">
        <f>IF(ROW()-ROW(Табл12[[#Headers],[Период (№месяца)]])&gt;$B$9,0,ROW()-ROW(Табл12[[#Headers],[Период (№месяца)]]))</f>
        <v>11</v>
      </c>
      <c r="B33" s="6">
        <f>$B$5+SUM($E$22:E32)</f>
        <v>-107589.6370130361</v>
      </c>
      <c r="C33" s="6">
        <f t="shared" si="0"/>
        <v>-10000.00000000002</v>
      </c>
      <c r="D33" s="6">
        <f t="shared" si="1"/>
        <v>1737.6012563869328</v>
      </c>
      <c r="E33" s="6">
        <f t="shared" si="2"/>
        <v>-11737.601256386954</v>
      </c>
      <c r="F33" s="6">
        <f>SUM($E$22:E33)+$B$5</f>
        <v>-119327.23826942306</v>
      </c>
      <c r="G33" s="6">
        <f>Табл12[[#This Row],[Регулярный взнос]]*Табл12[[#This Row],[Период (№месяца)]]</f>
        <v>-110000.00000000022</v>
      </c>
      <c r="I33" s="21">
        <f>-Табл12[[#This Row],[Регулярный взнос]]</f>
        <v>10000.00000000002</v>
      </c>
      <c r="J33" s="21">
        <f>Табл12[[#This Row],[Начисленный % за период]]</f>
        <v>1737.6012563869328</v>
      </c>
      <c r="K33" s="21">
        <f>I33*Табл12[[#This Row],[Период (№месяца)]]</f>
        <v>110000.00000000022</v>
      </c>
      <c r="L33" s="21">
        <f>SUM($J$22:J33)</f>
        <v>9327.2382694228218</v>
      </c>
      <c r="M33" s="21">
        <f t="shared" si="3"/>
        <v>0</v>
      </c>
      <c r="N33" s="20"/>
    </row>
    <row r="34" spans="1:21" x14ac:dyDescent="0.25">
      <c r="A34" s="5">
        <f>IF(ROW()-ROW(Табл12[[#Headers],[Период (№месяца)]])&gt;$B$9,0,ROW()-ROW(Табл12[[#Headers],[Период (№месяца)]]))</f>
        <v>12</v>
      </c>
      <c r="B34" s="6">
        <f>$B$5+SUM($E$22:E33)</f>
        <v>-119327.23826942306</v>
      </c>
      <c r="C34" s="6">
        <f t="shared" si="0"/>
        <v>-10000.00000000002</v>
      </c>
      <c r="D34" s="6">
        <f t="shared" si="1"/>
        <v>1927.1666388558358</v>
      </c>
      <c r="E34" s="6">
        <f t="shared" si="2"/>
        <v>-11927.166638855859</v>
      </c>
      <c r="F34" s="6">
        <f>SUM($E$22:E34)+$B$5</f>
        <v>-131254.40490827893</v>
      </c>
      <c r="G34" s="6">
        <f>Табл12[[#This Row],[Регулярный взнос]]*Табл12[[#This Row],[Период (№месяца)]]</f>
        <v>-120000.00000000023</v>
      </c>
      <c r="I34" s="21">
        <f>-Табл12[[#This Row],[Регулярный взнос]]</f>
        <v>10000.00000000002</v>
      </c>
      <c r="J34" s="21">
        <f>Табл12[[#This Row],[Начисленный % за период]]</f>
        <v>1927.1666388558358</v>
      </c>
      <c r="K34" s="21">
        <f>I34*Табл12[[#This Row],[Период (№месяца)]]</f>
        <v>120000.00000000023</v>
      </c>
      <c r="L34" s="21">
        <f>SUM($J$22:J34)</f>
        <v>11254.404908278657</v>
      </c>
      <c r="M34" s="21">
        <f t="shared" si="3"/>
        <v>0</v>
      </c>
      <c r="N34" s="20"/>
    </row>
    <row r="35" spans="1:21" x14ac:dyDescent="0.25">
      <c r="A35" s="5">
        <f>IF(ROW()-ROW(Табл12[[#Headers],[Период (№месяца)]])&gt;$B$9,0,ROW()-ROW(Табл12[[#Headers],[Период (№месяца)]]))</f>
        <v>13</v>
      </c>
      <c r="B35" s="6">
        <f>$B$5+SUM($E$22:E34)</f>
        <v>-131254.40490827893</v>
      </c>
      <c r="C35" s="6">
        <f t="shared" si="0"/>
        <v>-10000.00000000002</v>
      </c>
      <c r="D35" s="6">
        <f t="shared" si="1"/>
        <v>2119.793552675626</v>
      </c>
      <c r="E35" s="6">
        <f t="shared" si="2"/>
        <v>-12119.793552675646</v>
      </c>
      <c r="F35" s="6">
        <f>SUM($E$22:E35)+$B$5</f>
        <v>-143374.19846095456</v>
      </c>
      <c r="G35" s="6">
        <f>Табл12[[#This Row],[Регулярный взнос]]*Табл12[[#This Row],[Период (№месяца)]]</f>
        <v>-130000.00000000026</v>
      </c>
      <c r="I35" s="21">
        <f>-Табл12[[#This Row],[Регулярный взнос]]</f>
        <v>10000.00000000002</v>
      </c>
      <c r="J35" s="21">
        <f>Табл12[[#This Row],[Начисленный % за период]]</f>
        <v>2119.793552675626</v>
      </c>
      <c r="K35" s="21">
        <f>I35*Табл12[[#This Row],[Период (№месяца)]]</f>
        <v>130000.00000000026</v>
      </c>
      <c r="L35" s="21">
        <f>SUM($J$22:J35)</f>
        <v>13374.198460954283</v>
      </c>
      <c r="M35" s="21">
        <f t="shared" si="3"/>
        <v>0</v>
      </c>
      <c r="N35" s="20"/>
      <c r="O35" s="6"/>
      <c r="P35" s="6"/>
      <c r="Q35" s="6"/>
      <c r="R35" s="6"/>
      <c r="S35" s="6"/>
      <c r="T35" s="6"/>
      <c r="U35" s="6"/>
    </row>
    <row r="36" spans="1:21" x14ac:dyDescent="0.25">
      <c r="A36" s="5">
        <f>IF(ROW()-ROW(Табл12[[#Headers],[Период (№месяца)]])&gt;$B$9,0,ROW()-ROW(Табл12[[#Headers],[Период (№месяца)]]))</f>
        <v>14</v>
      </c>
      <c r="B36" s="6">
        <f>$B$5+SUM($E$22:E35)</f>
        <v>-143374.19846095456</v>
      </c>
      <c r="C36" s="6">
        <f t="shared" si="0"/>
        <v>-10000.00000000002</v>
      </c>
      <c r="D36" s="6">
        <f t="shared" si="1"/>
        <v>2315.5314423919745</v>
      </c>
      <c r="E36" s="6">
        <f t="shared" si="2"/>
        <v>-12315.531442391994</v>
      </c>
      <c r="F36" s="6">
        <f>SUM($E$22:E36)+$B$5</f>
        <v>-155689.72990334657</v>
      </c>
      <c r="G36" s="6">
        <f>Табл12[[#This Row],[Регулярный взнос]]*Табл12[[#This Row],[Период (№месяца)]]</f>
        <v>-140000.00000000029</v>
      </c>
      <c r="I36" s="21">
        <f>-Табл12[[#This Row],[Регулярный взнос]]</f>
        <v>10000.00000000002</v>
      </c>
      <c r="J36" s="21">
        <f>Табл12[[#This Row],[Начисленный % за период]]</f>
        <v>2315.5314423919745</v>
      </c>
      <c r="K36" s="21">
        <f>I36*Табл12[[#This Row],[Период (№месяца)]]</f>
        <v>140000.00000000029</v>
      </c>
      <c r="L36" s="21">
        <f>SUM($J$22:J36)</f>
        <v>15689.729903346259</v>
      </c>
      <c r="M36" s="21">
        <f t="shared" si="3"/>
        <v>0</v>
      </c>
      <c r="N36" s="20"/>
    </row>
    <row r="37" spans="1:21" x14ac:dyDescent="0.25">
      <c r="A37" s="5">
        <f>IF(ROW()-ROW(Табл12[[#Headers],[Период (№месяца)]])&gt;$B$9,0,ROW()-ROW(Табл12[[#Headers],[Период (№месяца)]]))</f>
        <v>15</v>
      </c>
      <c r="B37" s="6">
        <f>$B$5+SUM($E$22:E36)</f>
        <v>-155689.72990334657</v>
      </c>
      <c r="C37" s="6">
        <f t="shared" si="0"/>
        <v>-10000.00000000002</v>
      </c>
      <c r="D37" s="6">
        <f t="shared" si="1"/>
        <v>2514.4305510931231</v>
      </c>
      <c r="E37" s="6">
        <f t="shared" si="2"/>
        <v>-12514.430551093144</v>
      </c>
      <c r="F37" s="6">
        <f>SUM($E$22:E37)+$B$5</f>
        <v>-168204.1604544397</v>
      </c>
      <c r="G37" s="6">
        <f>Табл12[[#This Row],[Регулярный взнос]]*Табл12[[#This Row],[Период (№месяца)]]</f>
        <v>-150000.00000000029</v>
      </c>
      <c r="I37" s="21">
        <f>-Табл12[[#This Row],[Регулярный взнос]]</f>
        <v>10000.00000000002</v>
      </c>
      <c r="J37" s="21">
        <f>Табл12[[#This Row],[Начисленный % за период]]</f>
        <v>2514.4305510931231</v>
      </c>
      <c r="K37" s="21">
        <f>I37*Табл12[[#This Row],[Период (№месяца)]]</f>
        <v>150000.00000000029</v>
      </c>
      <c r="L37" s="21">
        <f>SUM($J$22:J37)</f>
        <v>18204.160454439381</v>
      </c>
      <c r="M37" s="21">
        <f t="shared" si="3"/>
        <v>0</v>
      </c>
      <c r="N37" s="20"/>
    </row>
    <row r="38" spans="1:21" x14ac:dyDescent="0.25">
      <c r="A38" s="5">
        <f>IF(ROW()-ROW(Табл12[[#Headers],[Период (№месяца)]])&gt;$B$9,0,ROW()-ROW(Табл12[[#Headers],[Период (№месяца)]]))</f>
        <v>16</v>
      </c>
      <c r="B38" s="6">
        <f>$B$5+SUM($E$22:E37)</f>
        <v>-168204.1604544397</v>
      </c>
      <c r="C38" s="6">
        <f t="shared" si="0"/>
        <v>-10000.00000000002</v>
      </c>
      <c r="D38" s="6">
        <f t="shared" si="1"/>
        <v>2716.5419333065588</v>
      </c>
      <c r="E38" s="6">
        <f t="shared" si="2"/>
        <v>-12716.54193330658</v>
      </c>
      <c r="F38" s="6">
        <f>SUM($E$22:E38)+$B$5</f>
        <v>-180920.70238774628</v>
      </c>
      <c r="G38" s="6">
        <f>Табл12[[#This Row],[Регулярный взнос]]*Табл12[[#This Row],[Период (№месяца)]]</f>
        <v>-160000.00000000032</v>
      </c>
      <c r="I38" s="21">
        <f>-Табл12[[#This Row],[Регулярный взнос]]</f>
        <v>10000.00000000002</v>
      </c>
      <c r="J38" s="21">
        <f>Табл12[[#This Row],[Начисленный % за период]]</f>
        <v>2716.5419333065588</v>
      </c>
      <c r="K38" s="21">
        <f>I38*Табл12[[#This Row],[Период (№месяца)]]</f>
        <v>160000.00000000032</v>
      </c>
      <c r="L38" s="21">
        <f>SUM($J$22:J38)</f>
        <v>20920.70238774594</v>
      </c>
      <c r="M38" s="21">
        <f t="shared" si="3"/>
        <v>0</v>
      </c>
      <c r="N38" s="20"/>
    </row>
    <row r="39" spans="1:21" x14ac:dyDescent="0.25">
      <c r="A39" s="5">
        <f>IF(ROW()-ROW(Табл12[[#Headers],[Период (№месяца)]])&gt;$B$9,0,ROW()-ROW(Табл12[[#Headers],[Период (№месяца)]]))</f>
        <v>17</v>
      </c>
      <c r="B39" s="6">
        <f>$B$5+SUM($E$22:E38)</f>
        <v>-180920.70238774628</v>
      </c>
      <c r="C39" s="6">
        <f t="shared" si="0"/>
        <v>-10000.00000000002</v>
      </c>
      <c r="D39" s="6">
        <f t="shared" si="1"/>
        <v>2921.9174681039572</v>
      </c>
      <c r="E39" s="6">
        <f t="shared" si="2"/>
        <v>-12921.91746810398</v>
      </c>
      <c r="F39" s="6">
        <f>SUM($E$22:E39)+$B$5</f>
        <v>-193842.61985585027</v>
      </c>
      <c r="G39" s="6">
        <f>Табл12[[#This Row],[Регулярный взнос]]*Табл12[[#This Row],[Период (№месяца)]]</f>
        <v>-170000.00000000035</v>
      </c>
      <c r="I39" s="21">
        <f>-Табл12[[#This Row],[Регулярный взнос]]</f>
        <v>10000.00000000002</v>
      </c>
      <c r="J39" s="21">
        <f>Табл12[[#This Row],[Начисленный % за период]]</f>
        <v>2921.9174681039572</v>
      </c>
      <c r="K39" s="21">
        <f>I39*Табл12[[#This Row],[Период (№месяца)]]</f>
        <v>170000.00000000035</v>
      </c>
      <c r="L39" s="21">
        <f>SUM($J$22:J39)</f>
        <v>23842.619855849898</v>
      </c>
      <c r="M39" s="21">
        <f t="shared" si="3"/>
        <v>0</v>
      </c>
      <c r="N39" s="20"/>
    </row>
    <row r="40" spans="1:21" x14ac:dyDescent="0.25">
      <c r="A40" s="5">
        <f>IF(ROW()-ROW(Табл12[[#Headers],[Период (№месяца)]])&gt;$B$9,0,ROW()-ROW(Табл12[[#Headers],[Период (№месяца)]]))</f>
        <v>18</v>
      </c>
      <c r="B40" s="6">
        <f>$B$5+SUM($E$22:E39)</f>
        <v>-193842.61985585027</v>
      </c>
      <c r="C40" s="6">
        <f t="shared" si="0"/>
        <v>-10000.00000000002</v>
      </c>
      <c r="D40" s="6">
        <f t="shared" si="1"/>
        <v>3130.6098724178164</v>
      </c>
      <c r="E40" s="6">
        <f t="shared" si="2"/>
        <v>-13130.609872417837</v>
      </c>
      <c r="F40" s="6">
        <f>SUM($E$22:E40)+$B$5</f>
        <v>-206973.22972826811</v>
      </c>
      <c r="G40" s="6">
        <f>Табл12[[#This Row],[Регулярный взнос]]*Табл12[[#This Row],[Период (№месяца)]]</f>
        <v>-180000.00000000035</v>
      </c>
      <c r="I40" s="21">
        <f>-Табл12[[#This Row],[Регулярный взнос]]</f>
        <v>10000.00000000002</v>
      </c>
      <c r="J40" s="21">
        <f>Табл12[[#This Row],[Начисленный % за период]]</f>
        <v>3130.6098724178164</v>
      </c>
      <c r="K40" s="21">
        <f>I40*Табл12[[#This Row],[Период (№месяца)]]</f>
        <v>180000.00000000035</v>
      </c>
      <c r="L40" s="21">
        <f>SUM($J$22:J40)</f>
        <v>26973.229728267714</v>
      </c>
      <c r="M40" s="21">
        <f t="shared" si="3"/>
        <v>0</v>
      </c>
      <c r="N40" s="20"/>
    </row>
    <row r="41" spans="1:21" x14ac:dyDescent="0.25">
      <c r="A41" s="5">
        <f>IF(ROW()-ROW(Табл12[[#Headers],[Период (№месяца)]])&gt;$B$9,0,ROW()-ROW(Табл12[[#Headers],[Период (№месяца)]]))</f>
        <v>19</v>
      </c>
      <c r="B41" s="6">
        <f>$B$5+SUM($E$22:E40)</f>
        <v>-206973.22972826811</v>
      </c>
      <c r="C41" s="6">
        <f t="shared" si="0"/>
        <v>-10000.00000000002</v>
      </c>
      <c r="D41" s="6">
        <f t="shared" si="1"/>
        <v>3342.6727145731038</v>
      </c>
      <c r="E41" s="6">
        <f t="shared" si="2"/>
        <v>-13342.67271457312</v>
      </c>
      <c r="F41" s="6">
        <f>SUM($E$22:E41)+$B$5</f>
        <v>-220315.90244284124</v>
      </c>
      <c r="G41" s="6">
        <f>Табл12[[#This Row],[Регулярный взнос]]*Табл12[[#This Row],[Период (№месяца)]]</f>
        <v>-190000.00000000038</v>
      </c>
      <c r="I41" s="21">
        <f>-Табл12[[#This Row],[Регулярный взнос]]</f>
        <v>10000.00000000002</v>
      </c>
      <c r="J41" s="21">
        <f>Табл12[[#This Row],[Начисленный % за период]]</f>
        <v>3342.6727145731038</v>
      </c>
      <c r="K41" s="21">
        <f>I41*Табл12[[#This Row],[Период (№месяца)]]</f>
        <v>190000.00000000038</v>
      </c>
      <c r="L41" s="21">
        <f>SUM($J$22:J41)</f>
        <v>30315.902442840816</v>
      </c>
      <c r="M41" s="21">
        <f t="shared" si="3"/>
        <v>0</v>
      </c>
      <c r="N41" s="20"/>
    </row>
    <row r="42" spans="1:21" x14ac:dyDescent="0.25">
      <c r="A42" s="5">
        <f>IF(ROW()-ROW(Табл12[[#Headers],[Период (№месяца)]])&gt;$B$9,0,ROW()-ROW(Табл12[[#Headers],[Период (№месяца)]]))</f>
        <v>20</v>
      </c>
      <c r="B42" s="6">
        <f>$B$5+SUM($E$22:E41)</f>
        <v>-220315.90244284124</v>
      </c>
      <c r="C42" s="6">
        <f t="shared" si="0"/>
        <v>-10000.00000000002</v>
      </c>
      <c r="D42" s="6">
        <f t="shared" si="1"/>
        <v>3558.1604280374831</v>
      </c>
      <c r="E42" s="6">
        <f t="shared" si="2"/>
        <v>-13558.160428037503</v>
      </c>
      <c r="F42" s="6">
        <f>SUM($E$22:E42)+$B$5</f>
        <v>-233874.06287087873</v>
      </c>
      <c r="G42" s="6">
        <f>Табл12[[#This Row],[Регулярный взнос]]*Табл12[[#This Row],[Период (№месяца)]]</f>
        <v>-200000.00000000041</v>
      </c>
      <c r="I42" s="21">
        <f>-Табл12[[#This Row],[Регулярный взнос]]</f>
        <v>10000.00000000002</v>
      </c>
      <c r="J42" s="21">
        <f>Табл12[[#This Row],[Начисленный % за период]]</f>
        <v>3558.1604280374831</v>
      </c>
      <c r="K42" s="21">
        <f>I42*Табл12[[#This Row],[Период (№месяца)]]</f>
        <v>200000.00000000041</v>
      </c>
      <c r="L42" s="21">
        <f>SUM($J$22:J42)</f>
        <v>33874.062870878297</v>
      </c>
      <c r="M42" s="21">
        <f t="shared" si="3"/>
        <v>0</v>
      </c>
      <c r="N42" s="20"/>
    </row>
    <row r="43" spans="1:21" x14ac:dyDescent="0.25">
      <c r="A43" s="5">
        <f>IF(ROW()-ROW(Табл12[[#Headers],[Период (№месяца)]])&gt;$B$9,0,ROW()-ROW(Табл12[[#Headers],[Период (№месяца)]]))</f>
        <v>21</v>
      </c>
      <c r="B43" s="6">
        <f>$B$5+SUM($E$22:E42)</f>
        <v>-233874.06287087873</v>
      </c>
      <c r="C43" s="6">
        <f t="shared" si="0"/>
        <v>-10000.00000000002</v>
      </c>
      <c r="D43" s="6">
        <f t="shared" si="1"/>
        <v>3777.1283253936131</v>
      </c>
      <c r="E43" s="6">
        <f t="shared" si="2"/>
        <v>-13777.128325393634</v>
      </c>
      <c r="F43" s="6">
        <f>SUM($E$22:E43)+$B$5</f>
        <v>-247651.19119627235</v>
      </c>
      <c r="G43" s="6">
        <f>Табл12[[#This Row],[Регулярный взнос]]*Табл12[[#This Row],[Период (№месяца)]]</f>
        <v>-210000.00000000041</v>
      </c>
      <c r="I43" s="21">
        <f>-Табл12[[#This Row],[Регулярный взнос]]</f>
        <v>10000.00000000002</v>
      </c>
      <c r="J43" s="21">
        <f>Табл12[[#This Row],[Начисленный % за период]]</f>
        <v>3777.1283253936131</v>
      </c>
      <c r="K43" s="21">
        <f>I43*Табл12[[#This Row],[Период (№месяца)]]</f>
        <v>210000.00000000041</v>
      </c>
      <c r="L43" s="21">
        <f>SUM($J$22:J43)</f>
        <v>37651.19119627191</v>
      </c>
      <c r="M43" s="21">
        <f t="shared" si="3"/>
        <v>0</v>
      </c>
      <c r="N43" s="20"/>
    </row>
    <row r="44" spans="1:21" x14ac:dyDescent="0.25">
      <c r="A44" s="5">
        <f>IF(ROW()-ROW(Табл12[[#Headers],[Период (№месяца)]])&gt;$B$9,0,ROW()-ROW(Табл12[[#Headers],[Период (№месяца)]]))</f>
        <v>22</v>
      </c>
      <c r="B44" s="6">
        <f>$B$5+SUM($E$22:E43)</f>
        <v>-247651.19119627235</v>
      </c>
      <c r="C44" s="6">
        <f t="shared" si="0"/>
        <v>-10000.00000000002</v>
      </c>
      <c r="D44" s="6">
        <f t="shared" si="1"/>
        <v>3999.6326125370583</v>
      </c>
      <c r="E44" s="6">
        <f t="shared" si="2"/>
        <v>-13999.632612537082</v>
      </c>
      <c r="F44" s="6">
        <f>SUM($E$22:E44)+$B$5</f>
        <v>-261650.82380880942</v>
      </c>
      <c r="G44" s="6">
        <f>Табл12[[#This Row],[Регулярный взнос]]*Табл12[[#This Row],[Период (№месяца)]]</f>
        <v>-220000.00000000044</v>
      </c>
      <c r="I44" s="21">
        <f>-Табл12[[#This Row],[Регулярный взнос]]</f>
        <v>10000.00000000002</v>
      </c>
      <c r="J44" s="21">
        <f>Табл12[[#This Row],[Начисленный % за период]]</f>
        <v>3999.6326125370583</v>
      </c>
      <c r="K44" s="21">
        <f>I44*Табл12[[#This Row],[Период (№месяца)]]</f>
        <v>220000.00000000044</v>
      </c>
      <c r="L44" s="21">
        <f>SUM($J$22:J44)</f>
        <v>41650.823808808971</v>
      </c>
      <c r="M44" s="21">
        <f t="shared" si="3"/>
        <v>0</v>
      </c>
      <c r="N44" s="20"/>
    </row>
    <row r="45" spans="1:21" x14ac:dyDescent="0.25">
      <c r="A45" s="5">
        <f>IF(ROW()-ROW(Табл12[[#Headers],[Период (№месяца)]])&gt;$B$9,0,ROW()-ROW(Табл12[[#Headers],[Период (№месяца)]]))</f>
        <v>23</v>
      </c>
      <c r="B45" s="6">
        <f>$B$5+SUM($E$22:E44)</f>
        <v>-261650.82380880942</v>
      </c>
      <c r="C45" s="6">
        <f t="shared" si="0"/>
        <v>-10000.00000000002</v>
      </c>
      <c r="D45" s="6">
        <f t="shared" si="1"/>
        <v>4225.7304031035655</v>
      </c>
      <c r="E45" s="6">
        <f t="shared" si="2"/>
        <v>-14225.730403103589</v>
      </c>
      <c r="F45" s="6">
        <f>SUM($E$22:E45)+$B$5</f>
        <v>-275876.55421191303</v>
      </c>
      <c r="G45" s="6">
        <f>Табл12[[#This Row],[Регулярный взнос]]*Табл12[[#This Row],[Период (№месяца)]]</f>
        <v>-230000.00000000047</v>
      </c>
      <c r="I45" s="21">
        <f>-Табл12[[#This Row],[Регулярный взнос]]</f>
        <v>10000.00000000002</v>
      </c>
      <c r="J45" s="21">
        <f>Табл12[[#This Row],[Начисленный % за период]]</f>
        <v>4225.7304031035655</v>
      </c>
      <c r="K45" s="21">
        <f>I45*Табл12[[#This Row],[Период (№месяца)]]</f>
        <v>230000.00000000047</v>
      </c>
      <c r="L45" s="21">
        <f>SUM($J$22:J45)</f>
        <v>45876.554211912538</v>
      </c>
      <c r="M45" s="21">
        <f t="shared" si="3"/>
        <v>0</v>
      </c>
      <c r="N45" s="20"/>
    </row>
    <row r="46" spans="1:21" x14ac:dyDescent="0.25">
      <c r="A46" s="5">
        <f>IF(ROW()-ROW(Табл12[[#Headers],[Период (№месяца)]])&gt;$B$9,0,ROW()-ROW(Табл12[[#Headers],[Период (№месяца)]]))</f>
        <v>24</v>
      </c>
      <c r="B46" s="6">
        <f>$B$5+SUM($E$22:E45)</f>
        <v>-275876.55421191303</v>
      </c>
      <c r="C46" s="6">
        <f t="shared" si="0"/>
        <v>-10000.00000000002</v>
      </c>
      <c r="D46" s="6">
        <f t="shared" si="1"/>
        <v>4455.4797331292766</v>
      </c>
      <c r="E46" s="6">
        <f t="shared" si="2"/>
        <v>-14455.479733129299</v>
      </c>
      <c r="F46" s="6">
        <f>SUM($E$22:E46)+$B$5</f>
        <v>-290332.03394504235</v>
      </c>
      <c r="G46" s="6">
        <f>Табл12[[#This Row],[Регулярный взнос]]*Табл12[[#This Row],[Период (№месяца)]]</f>
        <v>-240000.00000000047</v>
      </c>
      <c r="I46" s="21">
        <f>-Табл12[[#This Row],[Регулярный взнос]]</f>
        <v>10000.00000000002</v>
      </c>
      <c r="J46" s="21">
        <f>Табл12[[#This Row],[Начисленный % за период]]</f>
        <v>4455.4797331292766</v>
      </c>
      <c r="K46" s="21">
        <f>I46*Табл12[[#This Row],[Период (№месяца)]]</f>
        <v>240000.00000000047</v>
      </c>
      <c r="L46" s="21">
        <f>SUM($J$22:J46)</f>
        <v>50332.033945041818</v>
      </c>
      <c r="M46" s="21">
        <f t="shared" si="3"/>
        <v>0</v>
      </c>
      <c r="N46" s="20"/>
    </row>
    <row r="47" spans="1:21" x14ac:dyDescent="0.25">
      <c r="A47" s="5">
        <f>IF(ROW()-ROW(Табл12[[#Headers],[Период (№месяца)]])&gt;$B$9,0,ROW()-ROW(Табл12[[#Headers],[Период (№месяца)]]))</f>
        <v>25</v>
      </c>
      <c r="B47" s="6">
        <f>$B$5+SUM($E$22:E46)</f>
        <v>-290332.03394504235</v>
      </c>
      <c r="C47" s="6">
        <f t="shared" si="0"/>
        <v>-10000.00000000002</v>
      </c>
      <c r="D47" s="6">
        <f t="shared" si="1"/>
        <v>4688.9395759477638</v>
      </c>
      <c r="E47" s="6">
        <f t="shared" si="2"/>
        <v>-14688.939575947785</v>
      </c>
      <c r="F47" s="6">
        <f>SUM($E$22:E47)+$B$5</f>
        <v>-305020.97352099011</v>
      </c>
      <c r="G47" s="6">
        <f>Табл12[[#This Row],[Регулярный взнос]]*Табл12[[#This Row],[Период (№месяца)]]</f>
        <v>-250000.00000000049</v>
      </c>
      <c r="I47" s="21">
        <f>-Табл12[[#This Row],[Регулярный взнос]]</f>
        <v>10000.00000000002</v>
      </c>
      <c r="J47" s="21">
        <f>Табл12[[#This Row],[Начисленный % за период]]</f>
        <v>4688.9395759477638</v>
      </c>
      <c r="K47" s="21">
        <f>I47*Табл12[[#This Row],[Период (№месяца)]]</f>
        <v>250000.00000000049</v>
      </c>
      <c r="L47" s="21">
        <f>SUM($J$22:J47)</f>
        <v>55020.973520989581</v>
      </c>
      <c r="M47" s="21">
        <f t="shared" si="3"/>
        <v>0</v>
      </c>
      <c r="N47" s="20"/>
    </row>
    <row r="48" spans="1:21" x14ac:dyDescent="0.25">
      <c r="A48" s="5">
        <f>IF(ROW()-ROW(Табл12[[#Headers],[Период (№месяца)]])&gt;$B$9,0,ROW()-ROW(Табл12[[#Headers],[Период (№месяца)]]))</f>
        <v>26</v>
      </c>
      <c r="B48" s="6">
        <f>$B$5+SUM($E$22:E47)</f>
        <v>-305020.97352099011</v>
      </c>
      <c r="C48" s="6">
        <f t="shared" si="0"/>
        <v>-10000.00000000002</v>
      </c>
      <c r="D48" s="6">
        <f t="shared" si="1"/>
        <v>4926.1698573276153</v>
      </c>
      <c r="E48" s="6">
        <f t="shared" si="2"/>
        <v>-14926.169857327635</v>
      </c>
      <c r="F48" s="6">
        <f>SUM($E$22:E48)+$B$5</f>
        <v>-319947.14337831776</v>
      </c>
      <c r="G48" s="6">
        <f>Табл12[[#This Row],[Регулярный взнос]]*Табл12[[#This Row],[Период (№месяца)]]</f>
        <v>-260000.00000000052</v>
      </c>
      <c r="I48" s="21">
        <f>-Табл12[[#This Row],[Регулярный взнос]]</f>
        <v>10000.00000000002</v>
      </c>
      <c r="J48" s="21">
        <f>Табл12[[#This Row],[Начисленный % за период]]</f>
        <v>4926.1698573276153</v>
      </c>
      <c r="K48" s="21">
        <f>I48*Табл12[[#This Row],[Период (№месяца)]]</f>
        <v>260000.00000000052</v>
      </c>
      <c r="L48" s="21">
        <f>SUM($J$22:J48)</f>
        <v>59947.143378317196</v>
      </c>
      <c r="M48" s="21">
        <f t="shared" si="3"/>
        <v>0</v>
      </c>
      <c r="N48" s="20"/>
    </row>
    <row r="49" spans="1:14" x14ac:dyDescent="0.25">
      <c r="A49" s="5">
        <f>IF(ROW()-ROW(Табл12[[#Headers],[Период (№месяца)]])&gt;$B$9,0,ROW()-ROW(Табл12[[#Headers],[Период (№месяца)]]))</f>
        <v>27</v>
      </c>
      <c r="B49" s="6">
        <f>$B$5+SUM($E$22:E48)</f>
        <v>-319947.14337831776</v>
      </c>
      <c r="C49" s="6">
        <f t="shared" si="0"/>
        <v>-10000.00000000002</v>
      </c>
      <c r="D49" s="6">
        <f t="shared" si="1"/>
        <v>5167.2314708545309</v>
      </c>
      <c r="E49" s="6">
        <f t="shared" si="2"/>
        <v>-15167.231470854547</v>
      </c>
      <c r="F49" s="6">
        <f>SUM($E$22:E49)+$B$5</f>
        <v>-335114.37484917231</v>
      </c>
      <c r="G49" s="6">
        <f>Табл12[[#This Row],[Регулярный взнос]]*Табл12[[#This Row],[Период (№месяца)]]</f>
        <v>-270000.00000000052</v>
      </c>
      <c r="I49" s="21">
        <f>-Табл12[[#This Row],[Регулярный взнос]]</f>
        <v>10000.00000000002</v>
      </c>
      <c r="J49" s="21">
        <f>Табл12[[#This Row],[Начисленный % за период]]</f>
        <v>5167.2314708545309</v>
      </c>
      <c r="K49" s="21">
        <f>I49*Табл12[[#This Row],[Период (№месяца)]]</f>
        <v>270000.00000000052</v>
      </c>
      <c r="L49" s="21">
        <f>SUM($J$22:J49)</f>
        <v>65114.374849171727</v>
      </c>
      <c r="M49" s="21">
        <f t="shared" si="3"/>
        <v>0</v>
      </c>
      <c r="N49" s="20"/>
    </row>
    <row r="50" spans="1:14" x14ac:dyDescent="0.25">
      <c r="A50" s="5">
        <f>IF(ROW()-ROW(Табл12[[#Headers],[Период (№месяца)]])&gt;$B$9,0,ROW()-ROW(Табл12[[#Headers],[Период (№месяца)]]))</f>
        <v>28</v>
      </c>
      <c r="B50" s="6">
        <f>$B$5+SUM($E$22:E49)</f>
        <v>-335114.37484917231</v>
      </c>
      <c r="C50" s="6">
        <f t="shared" si="0"/>
        <v>-10000.00000000002</v>
      </c>
      <c r="D50" s="6">
        <f t="shared" si="1"/>
        <v>5412.1862935618028</v>
      </c>
      <c r="E50" s="6">
        <f t="shared" si="2"/>
        <v>-15412.186293561823</v>
      </c>
      <c r="F50" s="6">
        <f>SUM($E$22:E50)+$B$5</f>
        <v>-350526.56114273414</v>
      </c>
      <c r="G50" s="6">
        <f>Табл12[[#This Row],[Регулярный взнос]]*Табл12[[#This Row],[Период (№месяца)]]</f>
        <v>-280000.00000000058</v>
      </c>
      <c r="I50" s="21">
        <f>-Табл12[[#This Row],[Регулярный взнос]]</f>
        <v>10000.00000000002</v>
      </c>
      <c r="J50" s="21">
        <f>Табл12[[#This Row],[Начисленный % за период]]</f>
        <v>5412.1862935618028</v>
      </c>
      <c r="K50" s="21">
        <f>I50*Табл12[[#This Row],[Период (№месяца)]]</f>
        <v>280000.00000000058</v>
      </c>
      <c r="L50" s="21">
        <f>SUM($J$22:J50)</f>
        <v>70526.561142733524</v>
      </c>
      <c r="M50" s="21">
        <f t="shared" si="3"/>
        <v>0</v>
      </c>
      <c r="N50" s="20"/>
    </row>
    <row r="51" spans="1:14" x14ac:dyDescent="0.25">
      <c r="A51" s="5">
        <f>IF(ROW()-ROW(Табл12[[#Headers],[Период (№месяца)]])&gt;$B$9,0,ROW()-ROW(Табл12[[#Headers],[Период (№месяца)]]))</f>
        <v>29</v>
      </c>
      <c r="B51" s="6">
        <f>$B$5+SUM($E$22:E50)</f>
        <v>-350526.56114273414</v>
      </c>
      <c r="C51" s="6">
        <f t="shared" si="0"/>
        <v>-10000.00000000002</v>
      </c>
      <c r="D51" s="6">
        <f t="shared" si="1"/>
        <v>5661.0972018132907</v>
      </c>
      <c r="E51" s="6">
        <f t="shared" si="2"/>
        <v>-15661.097201813307</v>
      </c>
      <c r="F51" s="6">
        <f>SUM($E$22:E51)+$B$5</f>
        <v>-366187.65834454744</v>
      </c>
      <c r="G51" s="6">
        <f>Табл12[[#This Row],[Регулярный взнос]]*Табл12[[#This Row],[Период (№месяца)]]</f>
        <v>-290000.00000000058</v>
      </c>
      <c r="I51" s="21">
        <f>-Табл12[[#This Row],[Регулярный взнос]]</f>
        <v>10000.00000000002</v>
      </c>
      <c r="J51" s="21">
        <f>Табл12[[#This Row],[Начисленный % за период]]</f>
        <v>5661.0972018132907</v>
      </c>
      <c r="K51" s="21">
        <f>I51*Табл12[[#This Row],[Период (№месяца)]]</f>
        <v>290000.00000000058</v>
      </c>
      <c r="L51" s="21">
        <f>SUM($J$22:J51)</f>
        <v>76187.658344546813</v>
      </c>
      <c r="M51" s="21">
        <f t="shared" si="3"/>
        <v>0</v>
      </c>
      <c r="N51" s="20"/>
    </row>
    <row r="52" spans="1:14" x14ac:dyDescent="0.25">
      <c r="A52" s="5">
        <f>IF(ROW()-ROW(Табл12[[#Headers],[Период (№месяца)]])&gt;$B$9,0,ROW()-ROW(Табл12[[#Headers],[Период (№месяца)]]))</f>
        <v>30</v>
      </c>
      <c r="B52" s="6">
        <f>$B$5+SUM($E$22:E51)</f>
        <v>-366187.65834454744</v>
      </c>
      <c r="C52" s="6">
        <f t="shared" si="0"/>
        <v>-10000.00000000002</v>
      </c>
      <c r="D52" s="6">
        <f t="shared" si="1"/>
        <v>5914.0280874428345</v>
      </c>
      <c r="E52" s="6">
        <f t="shared" si="2"/>
        <v>-15914.028087442854</v>
      </c>
      <c r="F52" s="6">
        <f>SUM($E$22:E52)+$B$5</f>
        <v>-382101.6864319903</v>
      </c>
      <c r="G52" s="6">
        <f>Табл12[[#This Row],[Регулярный взнос]]*Табл12[[#This Row],[Период (№месяца)]]</f>
        <v>-300000.00000000058</v>
      </c>
      <c r="I52" s="21">
        <f>-Табл12[[#This Row],[Регулярный взнос]]</f>
        <v>10000.00000000002</v>
      </c>
      <c r="J52" s="21">
        <f>Табл12[[#This Row],[Начисленный % за период]]</f>
        <v>5914.0280874428345</v>
      </c>
      <c r="K52" s="21">
        <f>I52*Табл12[[#This Row],[Период (№месяца)]]</f>
        <v>300000.00000000058</v>
      </c>
      <c r="L52" s="21">
        <f>SUM($J$22:J52)</f>
        <v>82101.686431989641</v>
      </c>
      <c r="M52" s="21">
        <f t="shared" si="3"/>
        <v>0</v>
      </c>
      <c r="N52" s="20"/>
    </row>
    <row r="53" spans="1:14" x14ac:dyDescent="0.25">
      <c r="A53" s="5">
        <f>IF(ROW()-ROW(Табл12[[#Headers],[Период (№месяца)]])&gt;$B$9,0,ROW()-ROW(Табл12[[#Headers],[Период (№месяца)]]))</f>
        <v>31</v>
      </c>
      <c r="B53" s="6">
        <f>$B$5+SUM($E$22:E52)</f>
        <v>-382101.6864319903</v>
      </c>
      <c r="C53" s="6">
        <f t="shared" si="0"/>
        <v>-10000.00000000002</v>
      </c>
      <c r="D53" s="6">
        <f t="shared" si="1"/>
        <v>6171.043874154404</v>
      </c>
      <c r="E53" s="6">
        <f t="shared" si="2"/>
        <v>-16171.043874154426</v>
      </c>
      <c r="F53" s="6">
        <f>SUM($E$22:E53)+$B$5</f>
        <v>-398272.73030614475</v>
      </c>
      <c r="G53" s="6">
        <f>Табл12[[#This Row],[Регулярный взнос]]*Табл12[[#This Row],[Период (№месяца)]]</f>
        <v>-310000.00000000064</v>
      </c>
      <c r="I53" s="21">
        <f>-Табл12[[#This Row],[Регулярный взнос]]</f>
        <v>10000.00000000002</v>
      </c>
      <c r="J53" s="21">
        <f>Табл12[[#This Row],[Начисленный % за период]]</f>
        <v>6171.043874154404</v>
      </c>
      <c r="K53" s="21">
        <f>I53*Табл12[[#This Row],[Период (№месяца)]]</f>
        <v>310000.00000000064</v>
      </c>
      <c r="L53" s="21">
        <f>SUM($J$22:J53)</f>
        <v>88272.730306144047</v>
      </c>
      <c r="M53" s="21">
        <f t="shared" si="3"/>
        <v>0</v>
      </c>
      <c r="N53" s="20"/>
    </row>
    <row r="54" spans="1:14" x14ac:dyDescent="0.25">
      <c r="A54" s="5">
        <f>IF(ROW()-ROW(Табл12[[#Headers],[Период (№месяца)]])&gt;$B$9,0,ROW()-ROW(Табл12[[#Headers],[Период (№месяца)]]))</f>
        <v>32</v>
      </c>
      <c r="B54" s="6">
        <f>$B$5+SUM($E$22:E53)</f>
        <v>-398272.73030614475</v>
      </c>
      <c r="C54" s="6">
        <f t="shared" si="0"/>
        <v>-10000.00000000002</v>
      </c>
      <c r="D54" s="6">
        <f t="shared" si="1"/>
        <v>6432.2105341870465</v>
      </c>
      <c r="E54" s="6">
        <f t="shared" si="2"/>
        <v>-16432.210534187067</v>
      </c>
      <c r="F54" s="6">
        <f>SUM($E$22:E54)+$B$5</f>
        <v>-414704.94084033184</v>
      </c>
      <c r="G54" s="6">
        <f>Табл12[[#This Row],[Регулярный взнос]]*Табл12[[#This Row],[Период (№месяца)]]</f>
        <v>-320000.00000000064</v>
      </c>
      <c r="I54" s="21">
        <f>-Табл12[[#This Row],[Регулярный взнос]]</f>
        <v>10000.00000000002</v>
      </c>
      <c r="J54" s="21">
        <f>Табл12[[#This Row],[Начисленный % за период]]</f>
        <v>6432.2105341870465</v>
      </c>
      <c r="K54" s="21">
        <f>I54*Табл12[[#This Row],[Период (№месяца)]]</f>
        <v>320000.00000000064</v>
      </c>
      <c r="L54" s="21">
        <f>SUM($J$22:J54)</f>
        <v>94704.940840331095</v>
      </c>
      <c r="M54" s="21">
        <f t="shared" si="3"/>
        <v>0</v>
      </c>
      <c r="N54" s="20"/>
    </row>
    <row r="55" spans="1:14" x14ac:dyDescent="0.25">
      <c r="A55" s="5">
        <f>IF(ROW()-ROW(Табл12[[#Headers],[Период (№месяца)]])&gt;$B$9,0,ROW()-ROW(Табл12[[#Headers],[Период (№месяца)]]))</f>
        <v>33</v>
      </c>
      <c r="B55" s="6">
        <f>$B$5+SUM($E$22:E54)</f>
        <v>-414704.94084033184</v>
      </c>
      <c r="C55" s="6">
        <f t="shared" ref="C55:C82" si="4">PMT($B$13,$B$9,$B$5,$B$6,$B$10)</f>
        <v>-10000.00000000002</v>
      </c>
      <c r="D55" s="6">
        <f t="shared" ref="D55:D82" si="5">IPMT($B$13,A55,$B$9,$B$5,$B$6,$B$10)</f>
        <v>6697.5951052490191</v>
      </c>
      <c r="E55" s="6">
        <f t="shared" ref="E55:E82" si="6">PPMT($B$13,A55,$B$9,$B$5,$B$6,$B$10)</f>
        <v>-16697.595105249042</v>
      </c>
      <c r="F55" s="6">
        <f>SUM($E$22:E55)+$B$5</f>
        <v>-431402.53594558086</v>
      </c>
      <c r="G55" s="6">
        <f>Табл12[[#This Row],[Регулярный взнос]]*Табл12[[#This Row],[Период (№месяца)]]</f>
        <v>-330000.00000000064</v>
      </c>
      <c r="I55" s="21">
        <f>-Табл12[[#This Row],[Регулярный взнос]]</f>
        <v>10000.00000000002</v>
      </c>
      <c r="J55" s="21">
        <f>Табл12[[#This Row],[Начисленный % за период]]</f>
        <v>6697.5951052490191</v>
      </c>
      <c r="K55" s="21">
        <f>I55*Табл12[[#This Row],[Период (№месяца)]]</f>
        <v>330000.00000000064</v>
      </c>
      <c r="L55" s="21">
        <f>SUM($J$22:J55)</f>
        <v>101402.53594558011</v>
      </c>
      <c r="M55" s="21">
        <f t="shared" si="3"/>
        <v>0</v>
      </c>
      <c r="N55" s="20"/>
    </row>
    <row r="56" spans="1:14" x14ac:dyDescent="0.25">
      <c r="A56" s="5">
        <f>IF(ROW()-ROW(Табл12[[#Headers],[Период (№месяца)]])&gt;$B$9,0,ROW()-ROW(Табл12[[#Headers],[Период (№месяца)]]))</f>
        <v>34</v>
      </c>
      <c r="B56" s="6">
        <f>$B$5+SUM($E$22:E55)</f>
        <v>-431402.53594558086</v>
      </c>
      <c r="C56" s="6">
        <f t="shared" si="4"/>
        <v>-10000.00000000002</v>
      </c>
      <c r="D56" s="6">
        <f t="shared" si="5"/>
        <v>6967.2657077254071</v>
      </c>
      <c r="E56" s="6">
        <f t="shared" si="6"/>
        <v>-16967.265707725426</v>
      </c>
      <c r="F56" s="6">
        <f>SUM($E$22:E56)+$B$5</f>
        <v>-448369.80165330629</v>
      </c>
      <c r="G56" s="6">
        <f>Табл12[[#This Row],[Регулярный взнос]]*Табл12[[#This Row],[Период (№месяца)]]</f>
        <v>-340000.0000000007</v>
      </c>
      <c r="I56" s="21">
        <f>-Табл12[[#This Row],[Регулярный взнос]]</f>
        <v>10000.00000000002</v>
      </c>
      <c r="J56" s="21">
        <f>Табл12[[#This Row],[Начисленный % за период]]</f>
        <v>6967.2657077254071</v>
      </c>
      <c r="K56" s="21">
        <f>I56*Табл12[[#This Row],[Период (№месяца)]]</f>
        <v>340000.0000000007</v>
      </c>
      <c r="L56" s="21">
        <f>SUM($J$22:J56)</f>
        <v>108369.80165330552</v>
      </c>
      <c r="M56" s="21">
        <f t="shared" si="3"/>
        <v>0</v>
      </c>
      <c r="N56" s="20"/>
    </row>
    <row r="57" spans="1:14" x14ac:dyDescent="0.25">
      <c r="A57" s="5">
        <f>IF(ROW()-ROW(Табл12[[#Headers],[Период (№месяца)]])&gt;$B$9,0,ROW()-ROW(Табл12[[#Headers],[Период (№месяца)]]))</f>
        <v>35</v>
      </c>
      <c r="B57" s="6">
        <f>$B$5+SUM($E$22:E56)</f>
        <v>-448369.80165330629</v>
      </c>
      <c r="C57" s="6">
        <f t="shared" si="4"/>
        <v>-10000.00000000002</v>
      </c>
      <c r="D57" s="6">
        <f t="shared" si="5"/>
        <v>7241.2915621636203</v>
      </c>
      <c r="E57" s="6">
        <f t="shared" si="6"/>
        <v>-17241.291562163642</v>
      </c>
      <c r="F57" s="6">
        <f>SUM($E$22:E57)+$B$5</f>
        <v>-465611.09321546991</v>
      </c>
      <c r="G57" s="6">
        <f>Табл12[[#This Row],[Регулярный взнос]]*Табл12[[#This Row],[Период (№месяца)]]</f>
        <v>-350000.0000000007</v>
      </c>
      <c r="I57" s="21">
        <f>-Табл12[[#This Row],[Регулярный взнос]]</f>
        <v>10000.00000000002</v>
      </c>
      <c r="J57" s="21">
        <f>Табл12[[#This Row],[Начисленный % за период]]</f>
        <v>7241.2915621636203</v>
      </c>
      <c r="K57" s="21">
        <f>I57*Табл12[[#This Row],[Период (№месяца)]]</f>
        <v>350000.0000000007</v>
      </c>
      <c r="L57" s="21">
        <f>SUM($J$22:J57)</f>
        <v>115611.09321546914</v>
      </c>
      <c r="M57" s="21">
        <f t="shared" si="3"/>
        <v>0</v>
      </c>
      <c r="N57" s="20"/>
    </row>
    <row r="58" spans="1:14" x14ac:dyDescent="0.25">
      <c r="A58" s="5">
        <f>IF(ROW()-ROW(Табл12[[#Headers],[Период (№месяца)]])&gt;$B$9,0,ROW()-ROW(Табл12[[#Headers],[Период (№месяца)]]))</f>
        <v>36</v>
      </c>
      <c r="B58" s="6">
        <f>$B$5+SUM($E$22:E57)</f>
        <v>-465611.09321546991</v>
      </c>
      <c r="C58" s="6">
        <f t="shared" si="4"/>
        <v>-10000.00000000002</v>
      </c>
      <c r="D58" s="6">
        <f t="shared" si="5"/>
        <v>7519.7430070413366</v>
      </c>
      <c r="E58" s="6">
        <f t="shared" si="6"/>
        <v>-17519.743007041361</v>
      </c>
      <c r="F58" s="6">
        <f>SUM($E$22:E58)+$B$5</f>
        <v>-483130.83622251125</v>
      </c>
      <c r="G58" s="6">
        <f>Табл12[[#This Row],[Регулярный взнос]]*Табл12[[#This Row],[Период (№месяца)]]</f>
        <v>-360000.0000000007</v>
      </c>
      <c r="I58" s="21">
        <f>-Табл12[[#This Row],[Регулярный взнос]]</f>
        <v>10000.00000000002</v>
      </c>
      <c r="J58" s="21">
        <f>Табл12[[#This Row],[Начисленный % за период]]</f>
        <v>7519.7430070413366</v>
      </c>
      <c r="K58" s="21">
        <f>I58*Табл12[[#This Row],[Период (№месяца)]]</f>
        <v>360000.0000000007</v>
      </c>
      <c r="L58" s="21">
        <f>SUM($J$22:J58)</f>
        <v>123130.83622251048</v>
      </c>
      <c r="M58" s="21">
        <f t="shared" si="3"/>
        <v>0</v>
      </c>
      <c r="N58" s="20"/>
    </row>
    <row r="59" spans="1:14" x14ac:dyDescent="0.25">
      <c r="A59" s="5">
        <f>IF(ROW()-ROW(Табл12[[#Headers],[Период (№месяца)]])&gt;$B$9,0,ROW()-ROW(Табл12[[#Headers],[Период (№месяца)]]))</f>
        <v>37</v>
      </c>
      <c r="B59" s="6">
        <f>$B$5+SUM($E$22:E58)</f>
        <v>-483130.83622251125</v>
      </c>
      <c r="C59" s="6">
        <f t="shared" si="4"/>
        <v>-10000.00000000002</v>
      </c>
      <c r="D59" s="6">
        <f t="shared" si="5"/>
        <v>7802.6915168213518</v>
      </c>
      <c r="E59" s="6">
        <f t="shared" si="6"/>
        <v>-17802.691516821375</v>
      </c>
      <c r="F59" s="6">
        <f>SUM($E$22:E59)+$B$5</f>
        <v>-500933.52773933264</v>
      </c>
      <c r="G59" s="6">
        <f>Табл12[[#This Row],[Регулярный взнос]]*Табл12[[#This Row],[Период (№месяца)]]</f>
        <v>-370000.00000000076</v>
      </c>
      <c r="I59" s="21">
        <f>-Табл12[[#This Row],[Регулярный взнос]]</f>
        <v>10000.00000000002</v>
      </c>
      <c r="J59" s="21">
        <f>Табл12[[#This Row],[Начисленный % за период]]</f>
        <v>7802.6915168213518</v>
      </c>
      <c r="K59" s="21">
        <f>I59*Табл12[[#This Row],[Период (№месяца)]]</f>
        <v>370000.00000000076</v>
      </c>
      <c r="L59" s="21">
        <f>SUM($J$22:J59)</f>
        <v>130933.52773933182</v>
      </c>
      <c r="M59" s="21">
        <f t="shared" si="3"/>
        <v>0</v>
      </c>
      <c r="N59" s="20"/>
    </row>
    <row r="60" spans="1:14" x14ac:dyDescent="0.25">
      <c r="A60" s="5">
        <f>IF(ROW()-ROW(Табл12[[#Headers],[Период (№месяца)]])&gt;$B$9,0,ROW()-ROW(Табл12[[#Headers],[Период (№месяца)]]))</f>
        <v>38</v>
      </c>
      <c r="B60" s="6">
        <f>$B$5+SUM($E$22:E59)</f>
        <v>-500933.52773933264</v>
      </c>
      <c r="C60" s="6">
        <f t="shared" si="4"/>
        <v>-10000.00000000002</v>
      </c>
      <c r="D60" s="6">
        <f t="shared" si="5"/>
        <v>8090.2097202980467</v>
      </c>
      <c r="E60" s="6">
        <f t="shared" si="6"/>
        <v>-18090.209720298066</v>
      </c>
      <c r="F60" s="6">
        <f>SUM($E$22:E60)+$B$5</f>
        <v>-519023.73745963071</v>
      </c>
      <c r="G60" s="6">
        <f>Табл12[[#This Row],[Регулярный взнос]]*Табл12[[#This Row],[Период (№месяца)]]</f>
        <v>-380000.00000000076</v>
      </c>
      <c r="I60" s="21">
        <f>-Табл12[[#This Row],[Регулярный взнос]]</f>
        <v>10000.00000000002</v>
      </c>
      <c r="J60" s="21">
        <f>Табл12[[#This Row],[Начисленный % за период]]</f>
        <v>8090.2097202980467</v>
      </c>
      <c r="K60" s="21">
        <f>I60*Табл12[[#This Row],[Период (№месяца)]]</f>
        <v>380000.00000000076</v>
      </c>
      <c r="L60" s="21">
        <f>SUM($J$22:J60)</f>
        <v>139023.73745962986</v>
      </c>
      <c r="M60" s="21">
        <f t="shared" si="3"/>
        <v>0</v>
      </c>
      <c r="N60" s="20"/>
    </row>
    <row r="61" spans="1:14" x14ac:dyDescent="0.25">
      <c r="A61" s="5">
        <f>IF(ROW()-ROW(Табл12[[#Headers],[Период (№месяца)]])&gt;$B$9,0,ROW()-ROW(Табл12[[#Headers],[Период (№месяца)]]))</f>
        <v>39</v>
      </c>
      <c r="B61" s="6">
        <f>$B$5+SUM($E$22:E60)</f>
        <v>-519023.73745963071</v>
      </c>
      <c r="C61" s="6">
        <f t="shared" si="4"/>
        <v>-10000.00000000002</v>
      </c>
      <c r="D61" s="6">
        <f t="shared" si="5"/>
        <v>8382.3714192401512</v>
      </c>
      <c r="E61" s="6">
        <f t="shared" si="6"/>
        <v>-18382.371419240171</v>
      </c>
      <c r="F61" s="6">
        <f>SUM($E$22:E61)+$B$5</f>
        <v>-537406.10887887084</v>
      </c>
      <c r="G61" s="6">
        <f>Табл12[[#This Row],[Регулярный взнос]]*Табл12[[#This Row],[Период (№месяца)]]</f>
        <v>-390000.00000000076</v>
      </c>
      <c r="I61" s="21">
        <f>-Табл12[[#This Row],[Регулярный взнос]]</f>
        <v>10000.00000000002</v>
      </c>
      <c r="J61" s="21">
        <f>Табл12[[#This Row],[Начисленный % за период]]</f>
        <v>8382.3714192401512</v>
      </c>
      <c r="K61" s="21">
        <f>I61*Табл12[[#This Row],[Период (№месяца)]]</f>
        <v>390000.00000000076</v>
      </c>
      <c r="L61" s="21">
        <f>SUM($J$22:J61)</f>
        <v>147406.10887887</v>
      </c>
      <c r="M61" s="21">
        <f t="shared" si="3"/>
        <v>0</v>
      </c>
      <c r="N61" s="20"/>
    </row>
    <row r="62" spans="1:14" x14ac:dyDescent="0.25">
      <c r="A62" s="5">
        <f>IF(ROW()-ROW(Табл12[[#Headers],[Период (№месяца)]])&gt;$B$9,0,ROW()-ROW(Табл12[[#Headers],[Период (№месяца)]]))</f>
        <v>40</v>
      </c>
      <c r="B62" s="6">
        <f>$B$5+SUM($E$22:E61)</f>
        <v>-537406.10887887084</v>
      </c>
      <c r="C62" s="6">
        <f t="shared" si="4"/>
        <v>-10000.00000000002</v>
      </c>
      <c r="D62" s="6">
        <f t="shared" si="5"/>
        <v>8679.2516073345942</v>
      </c>
      <c r="E62" s="6">
        <f t="shared" si="6"/>
        <v>-18679.251607334612</v>
      </c>
      <c r="F62" s="6">
        <f>SUM($E$22:E62)+$B$5</f>
        <v>-556085.36048620543</v>
      </c>
      <c r="G62" s="6">
        <f>Табл12[[#This Row],[Регулярный взнос]]*Табл12[[#This Row],[Период (№месяца)]]</f>
        <v>-400000.00000000081</v>
      </c>
      <c r="I62" s="21">
        <f>-Табл12[[#This Row],[Регулярный взнос]]</f>
        <v>10000.00000000002</v>
      </c>
      <c r="J62" s="21">
        <f>Табл12[[#This Row],[Начисленный % за период]]</f>
        <v>8679.2516073345942</v>
      </c>
      <c r="K62" s="21">
        <f>I62*Табл12[[#This Row],[Период (№месяца)]]</f>
        <v>400000.00000000081</v>
      </c>
      <c r="L62" s="21">
        <f>SUM($J$22:J62)</f>
        <v>156085.36048620459</v>
      </c>
      <c r="M62" s="21">
        <f t="shared" si="3"/>
        <v>0</v>
      </c>
      <c r="N62" s="20"/>
    </row>
    <row r="63" spans="1:14" x14ac:dyDescent="0.25">
      <c r="A63" s="5">
        <f>IF(ROW()-ROW(Табл12[[#Headers],[Период (№месяца)]])&gt;$B$9,0,ROW()-ROW(Табл12[[#Headers],[Период (№месяца)]]))</f>
        <v>41</v>
      </c>
      <c r="B63" s="6">
        <f>$B$5+SUM($E$22:E62)</f>
        <v>-556085.36048620543</v>
      </c>
      <c r="C63" s="6">
        <f t="shared" si="4"/>
        <v>-10000.00000000002</v>
      </c>
      <c r="D63" s="6">
        <f t="shared" si="5"/>
        <v>8980.9264894362932</v>
      </c>
      <c r="E63" s="6">
        <f t="shared" si="6"/>
        <v>-18980.926489436315</v>
      </c>
      <c r="F63" s="6">
        <f>SUM($E$22:E63)+$B$5</f>
        <v>-575066.28697564173</v>
      </c>
      <c r="G63" s="6">
        <f>Табл12[[#This Row],[Регулярный взнос]]*Табл12[[#This Row],[Период (№месяца)]]</f>
        <v>-410000.00000000081</v>
      </c>
      <c r="I63" s="21">
        <f>-Табл12[[#This Row],[Регулярный взнос]]</f>
        <v>10000.00000000002</v>
      </c>
      <c r="J63" s="21">
        <f>Табл12[[#This Row],[Начисленный % за период]]</f>
        <v>8980.9264894362932</v>
      </c>
      <c r="K63" s="21">
        <f>I63*Табл12[[#This Row],[Период (№месяца)]]</f>
        <v>410000.00000000081</v>
      </c>
      <c r="L63" s="21">
        <f>SUM($J$22:J63)</f>
        <v>165066.28697564089</v>
      </c>
      <c r="M63" s="21">
        <f t="shared" si="3"/>
        <v>0</v>
      </c>
      <c r="N63" s="20"/>
    </row>
    <row r="64" spans="1:14" x14ac:dyDescent="0.25">
      <c r="A64" s="5">
        <f>IF(ROW()-ROW(Табл12[[#Headers],[Период (№месяца)]])&gt;$B$9,0,ROW()-ROW(Табл12[[#Headers],[Период (№месяца)]]))</f>
        <v>42</v>
      </c>
      <c r="B64" s="6">
        <f>$B$5+SUM($E$22:E63)</f>
        <v>-575066.28697564173</v>
      </c>
      <c r="C64" s="6">
        <f t="shared" si="4"/>
        <v>-10000.00000000002</v>
      </c>
      <c r="D64" s="6">
        <f t="shared" si="5"/>
        <v>9287.4735011288449</v>
      </c>
      <c r="E64" s="6">
        <f t="shared" si="6"/>
        <v>-19287.473501128865</v>
      </c>
      <c r="F64" s="6">
        <f>SUM($E$22:E64)+$B$5</f>
        <v>-594353.76047677058</v>
      </c>
      <c r="G64" s="6">
        <f>Табл12[[#This Row],[Регулярный взнос]]*Табл12[[#This Row],[Период (№месяца)]]</f>
        <v>-420000.00000000081</v>
      </c>
      <c r="I64" s="21">
        <f>-Табл12[[#This Row],[Регулярный взнос]]</f>
        <v>10000.00000000002</v>
      </c>
      <c r="J64" s="21">
        <f>Табл12[[#This Row],[Начисленный % за период]]</f>
        <v>9287.4735011288449</v>
      </c>
      <c r="K64" s="21">
        <f>I64*Табл12[[#This Row],[Период (№месяца)]]</f>
        <v>420000.00000000081</v>
      </c>
      <c r="L64" s="21">
        <f>SUM($J$22:J64)</f>
        <v>174353.76047676973</v>
      </c>
      <c r="M64" s="21">
        <f t="shared" si="3"/>
        <v>0</v>
      </c>
      <c r="N64" s="20"/>
    </row>
    <row r="65" spans="1:14" x14ac:dyDescent="0.25">
      <c r="A65" s="5">
        <f>IF(ROW()-ROW(Табл12[[#Headers],[Период (№месяца)]])&gt;$B$9,0,ROW()-ROW(Табл12[[#Headers],[Период (№месяца)]]))</f>
        <v>43</v>
      </c>
      <c r="B65" s="6">
        <f>$B$5+SUM($E$22:E64)</f>
        <v>-594353.76047677058</v>
      </c>
      <c r="C65" s="6">
        <f t="shared" si="4"/>
        <v>-10000.00000000002</v>
      </c>
      <c r="D65" s="6">
        <f t="shared" si="5"/>
        <v>9598.9713286011174</v>
      </c>
      <c r="E65" s="6">
        <f t="shared" si="6"/>
        <v>-19598.971328601139</v>
      </c>
      <c r="F65" s="6">
        <f>SUM($E$22:E65)+$B$5</f>
        <v>-613952.7318053717</v>
      </c>
      <c r="G65" s="6">
        <f>Табл12[[#This Row],[Регулярный взнос]]*Табл12[[#This Row],[Период (№месяца)]]</f>
        <v>-430000.00000000087</v>
      </c>
      <c r="I65" s="21">
        <f>-Табл12[[#This Row],[Регулярный взнос]]</f>
        <v>10000.00000000002</v>
      </c>
      <c r="J65" s="21">
        <f>Табл12[[#This Row],[Начисленный % за период]]</f>
        <v>9598.9713286011174</v>
      </c>
      <c r="K65" s="21">
        <f>I65*Табл12[[#This Row],[Период (№месяца)]]</f>
        <v>430000.00000000087</v>
      </c>
      <c r="L65" s="21">
        <f>SUM($J$22:J65)</f>
        <v>183952.73180537086</v>
      </c>
      <c r="M65" s="21">
        <f t="shared" si="3"/>
        <v>0</v>
      </c>
      <c r="N65" s="20"/>
    </row>
    <row r="66" spans="1:14" x14ac:dyDescent="0.25">
      <c r="A66" s="5">
        <f>IF(ROW()-ROW(Табл12[[#Headers],[Период (№месяца)]])&gt;$B$9,0,ROW()-ROW(Табл12[[#Headers],[Период (№месяца)]]))</f>
        <v>44</v>
      </c>
      <c r="B66" s="6">
        <f>$B$5+SUM($E$22:E65)</f>
        <v>-613952.7318053717</v>
      </c>
      <c r="C66" s="6">
        <f t="shared" si="4"/>
        <v>-10000.00000000002</v>
      </c>
      <c r="D66" s="6">
        <f t="shared" si="5"/>
        <v>9915.4999288448616</v>
      </c>
      <c r="E66" s="6">
        <f t="shared" si="6"/>
        <v>-19915.499928844885</v>
      </c>
      <c r="F66" s="6">
        <f>SUM($E$22:E66)+$B$5</f>
        <v>-633868.23173421656</v>
      </c>
      <c r="G66" s="6">
        <f>Табл12[[#This Row],[Регулярный взнос]]*Табл12[[#This Row],[Период (№месяца)]]</f>
        <v>-440000.00000000087</v>
      </c>
      <c r="I66" s="21">
        <f>-Табл12[[#This Row],[Регулярный взнос]]</f>
        <v>10000.00000000002</v>
      </c>
      <c r="J66" s="21">
        <f>Табл12[[#This Row],[Начисленный % за период]]</f>
        <v>9915.4999288448616</v>
      </c>
      <c r="K66" s="21">
        <f>I66*Табл12[[#This Row],[Период (№месяца)]]</f>
        <v>440000.00000000087</v>
      </c>
      <c r="L66" s="21">
        <f>SUM($J$22:J66)</f>
        <v>193868.23173421572</v>
      </c>
      <c r="M66" s="21">
        <f t="shared" si="3"/>
        <v>0</v>
      </c>
      <c r="N66" s="20"/>
    </row>
    <row r="67" spans="1:14" x14ac:dyDescent="0.25">
      <c r="A67" s="5">
        <f>IF(ROW()-ROW(Табл12[[#Headers],[Период (№месяца)]])&gt;$B$9,0,ROW()-ROW(Табл12[[#Headers],[Период (№месяца)]]))</f>
        <v>45</v>
      </c>
      <c r="B67" s="6">
        <f>$B$5+SUM($E$22:E66)</f>
        <v>-633868.23173421656</v>
      </c>
      <c r="C67" s="6">
        <f t="shared" si="4"/>
        <v>-10000.00000000002</v>
      </c>
      <c r="D67" s="6">
        <f t="shared" si="5"/>
        <v>10237.140550178512</v>
      </c>
      <c r="E67" s="6">
        <f t="shared" si="6"/>
        <v>-20237.140550178534</v>
      </c>
      <c r="F67" s="6">
        <f>SUM($E$22:E67)+$B$5</f>
        <v>-654105.37228439515</v>
      </c>
      <c r="G67" s="6">
        <f>Табл12[[#This Row],[Регулярный взнос]]*Табл12[[#This Row],[Период (№месяца)]]</f>
        <v>-450000.00000000087</v>
      </c>
      <c r="I67" s="21">
        <f>-Табл12[[#This Row],[Регулярный взнос]]</f>
        <v>10000.00000000002</v>
      </c>
      <c r="J67" s="21">
        <f>Табл12[[#This Row],[Начисленный % за период]]</f>
        <v>10237.140550178512</v>
      </c>
      <c r="K67" s="21">
        <f>I67*Табл12[[#This Row],[Период (№месяца)]]</f>
        <v>450000.00000000087</v>
      </c>
      <c r="L67" s="21">
        <f>SUM($J$22:J67)</f>
        <v>204105.37228439422</v>
      </c>
      <c r="M67" s="21">
        <f t="shared" si="3"/>
        <v>0</v>
      </c>
      <c r="N67" s="20"/>
    </row>
    <row r="68" spans="1:14" x14ac:dyDescent="0.25">
      <c r="A68" s="5">
        <f>IF(ROW()-ROW(Табл12[[#Headers],[Период (№месяца)]])&gt;$B$9,0,ROW()-ROW(Табл12[[#Headers],[Период (№месяца)]]))</f>
        <v>46</v>
      </c>
      <c r="B68" s="6">
        <f>$B$5+SUM($E$22:E67)</f>
        <v>-654105.37228439515</v>
      </c>
      <c r="C68" s="6">
        <f t="shared" si="4"/>
        <v>-10000.00000000002</v>
      </c>
      <c r="D68" s="6">
        <f t="shared" si="5"/>
        <v>10563.975753102455</v>
      </c>
      <c r="E68" s="6">
        <f t="shared" si="6"/>
        <v>-20563.975753102477</v>
      </c>
      <c r="F68" s="6">
        <f>SUM($E$22:E68)+$B$5</f>
        <v>-674669.34803749761</v>
      </c>
      <c r="G68" s="6">
        <f>Табл12[[#This Row],[Регулярный взнос]]*Табл12[[#This Row],[Период (№месяца)]]</f>
        <v>-460000.00000000093</v>
      </c>
      <c r="I68" s="21">
        <f>-Табл12[[#This Row],[Регулярный взнос]]</f>
        <v>10000.00000000002</v>
      </c>
      <c r="J68" s="21">
        <f>Табл12[[#This Row],[Начисленный % за период]]</f>
        <v>10563.975753102455</v>
      </c>
      <c r="K68" s="21">
        <f>I68*Табл12[[#This Row],[Период (№месяца)]]</f>
        <v>460000.00000000093</v>
      </c>
      <c r="L68" s="21">
        <f>SUM($J$22:J68)</f>
        <v>214669.34803749667</v>
      </c>
      <c r="M68" s="21">
        <f t="shared" si="3"/>
        <v>0</v>
      </c>
      <c r="N68" s="20"/>
    </row>
    <row r="69" spans="1:14" x14ac:dyDescent="0.25">
      <c r="A69" s="5">
        <f>IF(ROW()-ROW(Табл12[[#Headers],[Период (№месяца)]])&gt;$B$9,0,ROW()-ROW(Табл12[[#Headers],[Период (№месяца)]]))</f>
        <v>47</v>
      </c>
      <c r="B69" s="6">
        <f>$B$5+SUM($E$22:E68)</f>
        <v>-674669.34803749761</v>
      </c>
      <c r="C69" s="6">
        <f t="shared" si="4"/>
        <v>-10000.00000000002</v>
      </c>
      <c r="D69" s="6">
        <f t="shared" si="5"/>
        <v>10896.089431491126</v>
      </c>
      <c r="E69" s="6">
        <f t="shared" si="6"/>
        <v>-20896.089431491146</v>
      </c>
      <c r="F69" s="6">
        <f>SUM($E$22:E69)+$B$5</f>
        <v>-695565.4374689887</v>
      </c>
      <c r="G69" s="6">
        <f>Табл12[[#This Row],[Регулярный взнос]]*Табл12[[#This Row],[Период (№месяца)]]</f>
        <v>-470000.00000000093</v>
      </c>
      <c r="I69" s="21">
        <f>-Табл12[[#This Row],[Регулярный взнос]]</f>
        <v>10000.00000000002</v>
      </c>
      <c r="J69" s="21">
        <f>Табл12[[#This Row],[Начисленный % за период]]</f>
        <v>10896.089431491126</v>
      </c>
      <c r="K69" s="21">
        <f>I69*Табл12[[#This Row],[Период (№месяца)]]</f>
        <v>470000.00000000093</v>
      </c>
      <c r="L69" s="21">
        <f>SUM($J$22:J69)</f>
        <v>225565.4374689878</v>
      </c>
      <c r="M69" s="21">
        <f t="shared" si="3"/>
        <v>0</v>
      </c>
      <c r="N69" s="20"/>
    </row>
    <row r="70" spans="1:14" x14ac:dyDescent="0.25">
      <c r="A70" s="5">
        <f>IF(ROW()-ROW(Табл12[[#Headers],[Период (№месяца)]])&gt;$B$9,0,ROW()-ROW(Табл12[[#Headers],[Период (№месяца)]]))</f>
        <v>48</v>
      </c>
      <c r="B70" s="6">
        <f>$B$5+SUM($E$22:E69)</f>
        <v>-695565.4374689887</v>
      </c>
      <c r="C70" s="6">
        <f t="shared" si="4"/>
        <v>-10000.00000000002</v>
      </c>
      <c r="D70" s="6">
        <f t="shared" si="5"/>
        <v>11233.566834127343</v>
      </c>
      <c r="E70" s="6">
        <f t="shared" si="6"/>
        <v>-21233.566834127363</v>
      </c>
      <c r="F70" s="6">
        <f>SUM($E$22:E70)+$B$5</f>
        <v>-716799.00430311612</v>
      </c>
      <c r="G70" s="6">
        <f>Табл12[[#This Row],[Регулярный взнос]]*Табл12[[#This Row],[Период (№месяца)]]</f>
        <v>-480000.00000000093</v>
      </c>
      <c r="I70" s="21">
        <f>-Табл12[[#This Row],[Регулярный взнос]]</f>
        <v>10000.00000000002</v>
      </c>
      <c r="J70" s="21">
        <f>Табл12[[#This Row],[Начисленный % за период]]</f>
        <v>11233.566834127343</v>
      </c>
      <c r="K70" s="21">
        <f>I70*Табл12[[#This Row],[Период (№месяца)]]</f>
        <v>480000.00000000093</v>
      </c>
      <c r="L70" s="21">
        <f>SUM($J$22:J70)</f>
        <v>236799.00430311516</v>
      </c>
      <c r="M70" s="21">
        <f t="shared" si="3"/>
        <v>0</v>
      </c>
      <c r="N70" s="20"/>
    </row>
    <row r="71" spans="1:14" x14ac:dyDescent="0.25">
      <c r="A71" s="5">
        <f>IF(ROW()-ROW(Табл12[[#Headers],[Период (№месяца)]])&gt;$B$9,0,ROW()-ROW(Табл12[[#Headers],[Период (№месяца)]]))</f>
        <v>49</v>
      </c>
      <c r="B71" s="6">
        <f>$B$5+SUM($E$22:E70)</f>
        <v>-716799.00430311612</v>
      </c>
      <c r="C71" s="6">
        <f t="shared" si="4"/>
        <v>-10000.00000000002</v>
      </c>
      <c r="D71" s="6">
        <f t="shared" si="5"/>
        <v>11576.494586584442</v>
      </c>
      <c r="E71" s="6">
        <f t="shared" si="6"/>
        <v>-21576.494586584464</v>
      </c>
      <c r="F71" s="6">
        <f>SUM($E$22:E71)+$B$5</f>
        <v>-738375.49888970063</v>
      </c>
      <c r="G71" s="6">
        <f>Табл12[[#This Row],[Регулярный взнос]]*Табл12[[#This Row],[Период (№месяца)]]</f>
        <v>-490000.00000000099</v>
      </c>
      <c r="I71" s="21">
        <f>-Табл12[[#This Row],[Регулярный взнос]]</f>
        <v>10000.00000000002</v>
      </c>
      <c r="J71" s="21">
        <f>Табл12[[#This Row],[Начисленный % за период]]</f>
        <v>11576.494586584442</v>
      </c>
      <c r="K71" s="21">
        <f>I71*Табл12[[#This Row],[Период (№месяца)]]</f>
        <v>490000.00000000099</v>
      </c>
      <c r="L71" s="21">
        <f>SUM($J$22:J71)</f>
        <v>248375.49888969961</v>
      </c>
      <c r="M71" s="21">
        <f t="shared" si="3"/>
        <v>0</v>
      </c>
      <c r="N71" s="20"/>
    </row>
    <row r="72" spans="1:14" x14ac:dyDescent="0.25">
      <c r="A72" s="5">
        <f>IF(ROW()-ROW(Табл12[[#Headers],[Период (№месяца)]])&gt;$B$9,0,ROW()-ROW(Табл12[[#Headers],[Период (№месяца)]]))</f>
        <v>50</v>
      </c>
      <c r="B72" s="6">
        <f>$B$5+SUM($E$22:E71)</f>
        <v>-738375.49888970063</v>
      </c>
      <c r="C72" s="6">
        <f t="shared" si="4"/>
        <v>-10000.00000000002</v>
      </c>
      <c r="D72" s="6">
        <f t="shared" si="5"/>
        <v>11924.960713461815</v>
      </c>
      <c r="E72" s="6">
        <f t="shared" si="6"/>
        <v>-21924.960713461835</v>
      </c>
      <c r="F72" s="6">
        <f>SUM($E$22:E72)+$B$5</f>
        <v>-760300.45960316248</v>
      </c>
      <c r="G72" s="6">
        <f>Табл12[[#This Row],[Регулярный взнос]]*Табл12[[#This Row],[Период (№месяца)]]</f>
        <v>-500000.00000000099</v>
      </c>
      <c r="I72" s="21">
        <f>-Табл12[[#This Row],[Регулярный взнос]]</f>
        <v>10000.00000000002</v>
      </c>
      <c r="J72" s="21">
        <f>Табл12[[#This Row],[Начисленный % за период]]</f>
        <v>11924.960713461815</v>
      </c>
      <c r="K72" s="21">
        <f>I72*Табл12[[#This Row],[Период (№месяца)]]</f>
        <v>500000.00000000099</v>
      </c>
      <c r="L72" s="21">
        <f>SUM($J$22:J72)</f>
        <v>260300.45960316143</v>
      </c>
      <c r="M72" s="21">
        <f t="shared" si="3"/>
        <v>0</v>
      </c>
      <c r="N72" s="20"/>
    </row>
    <row r="73" spans="1:14" x14ac:dyDescent="0.25">
      <c r="A73" s="5">
        <f>IF(ROW()-ROW(Табл12[[#Headers],[Период (№месяца)]])&gt;$B$9,0,ROW()-ROW(Табл12[[#Headers],[Период (№месяца)]]))</f>
        <v>51</v>
      </c>
      <c r="B73" s="6">
        <f>$B$5+SUM($E$22:E72)</f>
        <v>-760300.45960316248</v>
      </c>
      <c r="C73" s="6">
        <f t="shared" si="4"/>
        <v>-10000.00000000002</v>
      </c>
      <c r="D73" s="6">
        <f t="shared" si="5"/>
        <v>12279.054660979544</v>
      </c>
      <c r="E73" s="6">
        <f t="shared" si="6"/>
        <v>-22279.054660979564</v>
      </c>
      <c r="F73" s="6">
        <f>SUM($E$22:E73)+$B$5</f>
        <v>-782579.51426414202</v>
      </c>
      <c r="G73" s="6">
        <f>Табл12[[#This Row],[Регулярный взнос]]*Табл12[[#This Row],[Период (№месяца)]]</f>
        <v>-510000.00000000105</v>
      </c>
      <c r="I73" s="21">
        <f>-Табл12[[#This Row],[Регулярный взнос]]</f>
        <v>10000.00000000002</v>
      </c>
      <c r="J73" s="21">
        <f>Табл12[[#This Row],[Начисленный % за период]]</f>
        <v>12279.054660979544</v>
      </c>
      <c r="K73" s="21">
        <f>I73*Табл12[[#This Row],[Период (№месяца)]]</f>
        <v>510000.00000000105</v>
      </c>
      <c r="L73" s="21">
        <f>SUM($J$22:J73)</f>
        <v>272579.51426414098</v>
      </c>
      <c r="M73" s="21">
        <f t="shared" si="3"/>
        <v>0</v>
      </c>
      <c r="N73" s="20"/>
    </row>
    <row r="74" spans="1:14" x14ac:dyDescent="0.25">
      <c r="A74" s="5">
        <f>IF(ROW()-ROW(Табл12[[#Headers],[Период (№месяца)]])&gt;$B$9,0,ROW()-ROW(Табл12[[#Headers],[Период (№месяца)]]))</f>
        <v>52</v>
      </c>
      <c r="B74" s="6">
        <f>$B$5+SUM($E$22:E73)</f>
        <v>-782579.51426414202</v>
      </c>
      <c r="C74" s="6">
        <f t="shared" si="4"/>
        <v>-10000.00000000002</v>
      </c>
      <c r="D74" s="6">
        <f t="shared" si="5"/>
        <v>12638.867319937957</v>
      </c>
      <c r="E74" s="6">
        <f t="shared" si="6"/>
        <v>-22638.867319937977</v>
      </c>
      <c r="F74" s="6">
        <f>SUM($E$22:E74)+$B$5</f>
        <v>-805218.38158408005</v>
      </c>
      <c r="G74" s="6">
        <f>Табл12[[#This Row],[Регулярный взнос]]*Табл12[[#This Row],[Период (№месяца)]]</f>
        <v>-520000.00000000105</v>
      </c>
      <c r="I74" s="21">
        <f>-Табл12[[#This Row],[Регулярный взнос]]</f>
        <v>10000.00000000002</v>
      </c>
      <c r="J74" s="21">
        <f>Табл12[[#This Row],[Начисленный % за период]]</f>
        <v>12638.867319937957</v>
      </c>
      <c r="K74" s="21">
        <f>I74*Табл12[[#This Row],[Период (№месяца)]]</f>
        <v>520000.00000000105</v>
      </c>
      <c r="L74" s="21">
        <f>SUM($J$22:J74)</f>
        <v>285218.38158407895</v>
      </c>
      <c r="M74" s="21">
        <f t="shared" si="3"/>
        <v>0</v>
      </c>
      <c r="N74" s="20"/>
    </row>
    <row r="75" spans="1:14" x14ac:dyDescent="0.25">
      <c r="A75" s="5">
        <f>IF(ROW()-ROW(Табл12[[#Headers],[Период (№месяца)]])&gt;$B$9,0,ROW()-ROW(Табл12[[#Headers],[Период (№месяца)]]))</f>
        <v>53</v>
      </c>
      <c r="B75" s="6">
        <f>$B$5+SUM($E$22:E74)</f>
        <v>-805218.38158408005</v>
      </c>
      <c r="C75" s="6">
        <f t="shared" si="4"/>
        <v>-10000.00000000002</v>
      </c>
      <c r="D75" s="6">
        <f t="shared" si="5"/>
        <v>13004.491049047992</v>
      </c>
      <c r="E75" s="6">
        <f t="shared" si="6"/>
        <v>-23004.491049048014</v>
      </c>
      <c r="F75" s="6">
        <f>SUM($E$22:E75)+$B$5</f>
        <v>-828222.87263312808</v>
      </c>
      <c r="G75" s="6">
        <f>Табл12[[#This Row],[Регулярный взнос]]*Табл12[[#This Row],[Период (№месяца)]]</f>
        <v>-530000.00000000105</v>
      </c>
      <c r="I75" s="21">
        <f>-Табл12[[#This Row],[Регулярный взнос]]</f>
        <v>10000.00000000002</v>
      </c>
      <c r="J75" s="21">
        <f>Табл12[[#This Row],[Начисленный % за период]]</f>
        <v>13004.491049047992</v>
      </c>
      <c r="K75" s="21">
        <f>I75*Табл12[[#This Row],[Период (№месяца)]]</f>
        <v>530000.00000000105</v>
      </c>
      <c r="L75" s="21">
        <f>SUM($J$22:J75)</f>
        <v>298222.87263312691</v>
      </c>
      <c r="M75" s="21">
        <f t="shared" si="3"/>
        <v>0</v>
      </c>
      <c r="N75" s="20"/>
    </row>
    <row r="76" spans="1:14" x14ac:dyDescent="0.25">
      <c r="A76" s="5">
        <f>IF(ROW()-ROW(Табл12[[#Headers],[Период (№месяца)]])&gt;$B$9,0,ROW()-ROW(Табл12[[#Headers],[Период (№месяца)]]))</f>
        <v>54</v>
      </c>
      <c r="B76" s="6">
        <f>$B$5+SUM($E$22:E75)</f>
        <v>-828222.87263312808</v>
      </c>
      <c r="C76" s="6">
        <f t="shared" si="4"/>
        <v>-10000.00000000002</v>
      </c>
      <c r="D76" s="6">
        <f t="shared" si="5"/>
        <v>13376.019698638329</v>
      </c>
      <c r="E76" s="6">
        <f t="shared" si="6"/>
        <v>-23376.019698638349</v>
      </c>
      <c r="F76" s="6">
        <f>SUM($E$22:E76)+$B$5</f>
        <v>-851598.89233176643</v>
      </c>
      <c r="G76" s="6">
        <f>Табл12[[#This Row],[Регулярный взнос]]*Табл12[[#This Row],[Период (№месяца)]]</f>
        <v>-540000.00000000105</v>
      </c>
      <c r="I76" s="21">
        <f>-Табл12[[#This Row],[Регулярный взнос]]</f>
        <v>10000.00000000002</v>
      </c>
      <c r="J76" s="21">
        <f>Табл12[[#This Row],[Начисленный % за период]]</f>
        <v>13376.019698638329</v>
      </c>
      <c r="K76" s="21">
        <f>I76*Табл12[[#This Row],[Период (№месяца)]]</f>
        <v>540000.00000000105</v>
      </c>
      <c r="L76" s="21">
        <f>SUM($J$22:J76)</f>
        <v>311598.89233176527</v>
      </c>
      <c r="M76" s="21">
        <f t="shared" si="3"/>
        <v>0</v>
      </c>
      <c r="N76" s="20"/>
    </row>
    <row r="77" spans="1:14" x14ac:dyDescent="0.25">
      <c r="A77" s="5">
        <f>IF(ROW()-ROW(Табл12[[#Headers],[Период (№месяца)]])&gt;$B$9,0,ROW()-ROW(Табл12[[#Headers],[Период (№месяца)]]))</f>
        <v>55</v>
      </c>
      <c r="B77" s="6">
        <f>$B$5+SUM($E$22:E76)</f>
        <v>-851598.89233176643</v>
      </c>
      <c r="C77" s="6">
        <f t="shared" si="4"/>
        <v>-10000.00000000002</v>
      </c>
      <c r="D77" s="6">
        <f t="shared" si="5"/>
        <v>13753.548634745421</v>
      </c>
      <c r="E77" s="6">
        <f t="shared" si="6"/>
        <v>-23753.548634745439</v>
      </c>
      <c r="F77" s="6">
        <f>SUM($E$22:E77)+$B$5</f>
        <v>-875352.44096651184</v>
      </c>
      <c r="G77" s="6">
        <f>Табл12[[#This Row],[Регулярный взнос]]*Табл12[[#This Row],[Период (№месяца)]]</f>
        <v>-550000.00000000105</v>
      </c>
      <c r="I77" s="21">
        <f>-Табл12[[#This Row],[Регулярный взнос]]</f>
        <v>10000.00000000002</v>
      </c>
      <c r="J77" s="21">
        <f>Табл12[[#This Row],[Начисленный % за период]]</f>
        <v>13753.548634745421</v>
      </c>
      <c r="K77" s="21">
        <f>I77*Табл12[[#This Row],[Период (№месяца)]]</f>
        <v>550000.00000000105</v>
      </c>
      <c r="L77" s="21">
        <f>SUM($J$22:J77)</f>
        <v>325352.44096651068</v>
      </c>
      <c r="M77" s="21">
        <f t="shared" si="3"/>
        <v>0</v>
      </c>
      <c r="N77" s="20"/>
    </row>
    <row r="78" spans="1:14" x14ac:dyDescent="0.25">
      <c r="A78" s="5">
        <f>IF(ROW()-ROW(Табл12[[#Headers],[Период (№месяца)]])&gt;$B$9,0,ROW()-ROW(Табл12[[#Headers],[Период (№месяца)]]))</f>
        <v>56</v>
      </c>
      <c r="B78" s="6">
        <f>$B$5+SUM($E$22:E77)</f>
        <v>-875352.44096651184</v>
      </c>
      <c r="C78" s="6">
        <f t="shared" si="4"/>
        <v>-10000.00000000002</v>
      </c>
      <c r="D78" s="6">
        <f t="shared" si="5"/>
        <v>14137.174763592577</v>
      </c>
      <c r="E78" s="6">
        <f t="shared" si="6"/>
        <v>-24137.1747635926</v>
      </c>
      <c r="F78" s="6">
        <f>SUM($E$22:E78)+$B$5</f>
        <v>-899489.6157301045</v>
      </c>
      <c r="G78" s="6">
        <f>Табл12[[#This Row],[Регулярный взнос]]*Табл12[[#This Row],[Период (№месяца)]]</f>
        <v>-560000.00000000116</v>
      </c>
      <c r="I78" s="21">
        <f>-Табл12[[#This Row],[Регулярный взнос]]</f>
        <v>10000.00000000002</v>
      </c>
      <c r="J78" s="21">
        <f>Табл12[[#This Row],[Начисленный % за период]]</f>
        <v>14137.174763592577</v>
      </c>
      <c r="K78" s="21">
        <f>I78*Табл12[[#This Row],[Период (№месяца)]]</f>
        <v>560000.00000000116</v>
      </c>
      <c r="L78" s="21">
        <f>SUM($J$22:J78)</f>
        <v>339489.61573010328</v>
      </c>
      <c r="M78" s="21">
        <f t="shared" si="3"/>
        <v>0</v>
      </c>
      <c r="N78" s="20"/>
    </row>
    <row r="79" spans="1:14" x14ac:dyDescent="0.25">
      <c r="A79" s="5">
        <f>IF(ROW()-ROW(Табл12[[#Headers],[Период (№месяца)]])&gt;$B$9,0,ROW()-ROW(Табл12[[#Headers],[Период (№месяца)]]))</f>
        <v>57</v>
      </c>
      <c r="B79" s="6">
        <f>$B$5+SUM($E$22:E78)</f>
        <v>-899489.6157301045</v>
      </c>
      <c r="C79" s="6">
        <f t="shared" si="4"/>
        <v>-10000.00000000002</v>
      </c>
      <c r="D79" s="6">
        <f t="shared" si="5"/>
        <v>14526.996556464392</v>
      </c>
      <c r="E79" s="6">
        <f t="shared" si="6"/>
        <v>-24526.996556464415</v>
      </c>
      <c r="F79" s="6">
        <f>SUM($E$22:E79)+$B$5</f>
        <v>-924016.61228656897</v>
      </c>
      <c r="G79" s="6">
        <f>Табл12[[#This Row],[Регулярный взнос]]*Табл12[[#This Row],[Период (№месяца)]]</f>
        <v>-570000.00000000116</v>
      </c>
      <c r="I79" s="21">
        <f>-Табл12[[#This Row],[Регулярный взнос]]</f>
        <v>10000.00000000002</v>
      </c>
      <c r="J79" s="21">
        <f>Табл12[[#This Row],[Начисленный % за период]]</f>
        <v>14526.996556464392</v>
      </c>
      <c r="K79" s="21">
        <f>I79*Табл12[[#This Row],[Период (№месяца)]]</f>
        <v>570000.00000000116</v>
      </c>
      <c r="L79" s="21">
        <f>SUM($J$22:J79)</f>
        <v>354016.61228656769</v>
      </c>
      <c r="M79" s="21">
        <f t="shared" si="3"/>
        <v>0</v>
      </c>
      <c r="N79" s="20"/>
    </row>
    <row r="80" spans="1:14" x14ac:dyDescent="0.25">
      <c r="A80" s="5">
        <f>IF(ROW()-ROW(Табл12[[#Headers],[Период (№месяца)]])&gt;$B$9,0,ROW()-ROW(Табл12[[#Headers],[Период (№месяца)]]))</f>
        <v>58</v>
      </c>
      <c r="B80" s="6">
        <f>$B$5+SUM($E$22:E79)</f>
        <v>-924016.61228656897</v>
      </c>
      <c r="C80" s="6">
        <f t="shared" si="4"/>
        <v>-10000.00000000002</v>
      </c>
      <c r="D80" s="6">
        <f t="shared" si="5"/>
        <v>14923.114074982897</v>
      </c>
      <c r="E80" s="6">
        <f t="shared" si="6"/>
        <v>-24923.114074982917</v>
      </c>
      <c r="F80" s="6">
        <f>SUM($E$22:E80)+$B$5</f>
        <v>-948939.7263615519</v>
      </c>
      <c r="G80" s="6">
        <f>Табл12[[#This Row],[Регулярный взнос]]*Табл12[[#This Row],[Период (№месяца)]]</f>
        <v>-580000.00000000116</v>
      </c>
      <c r="I80" s="21">
        <f>-Табл12[[#This Row],[Регулярный взнос]]</f>
        <v>10000.00000000002</v>
      </c>
      <c r="J80" s="21">
        <f>Табл12[[#This Row],[Начисленный % за период]]</f>
        <v>14923.114074982897</v>
      </c>
      <c r="K80" s="21">
        <f>I80*Табл12[[#This Row],[Период (№месяца)]]</f>
        <v>580000.00000000116</v>
      </c>
      <c r="L80" s="21">
        <f>SUM($J$22:J80)</f>
        <v>368939.72636155057</v>
      </c>
      <c r="M80" s="21">
        <f t="shared" si="3"/>
        <v>0</v>
      </c>
      <c r="N80" s="20"/>
    </row>
    <row r="81" spans="1:14" x14ac:dyDescent="0.25">
      <c r="A81" s="5">
        <f>IF(ROW()-ROW(Табл12[[#Headers],[Период (№месяца)]])&gt;$B$9,0,ROW()-ROW(Табл12[[#Headers],[Период (№месяца)]]))</f>
        <v>59</v>
      </c>
      <c r="B81" s="6">
        <f>$B$5+SUM($E$22:E80)</f>
        <v>-948939.7263615519</v>
      </c>
      <c r="C81" s="6">
        <f t="shared" si="4"/>
        <v>-10000.00000000002</v>
      </c>
      <c r="D81" s="6">
        <f t="shared" si="5"/>
        <v>15325.628996791937</v>
      </c>
      <c r="E81" s="6">
        <f t="shared" si="6"/>
        <v>-25325.628996791955</v>
      </c>
      <c r="F81" s="6">
        <f>SUM($E$22:E81)+$B$5</f>
        <v>-974265.3553583438</v>
      </c>
      <c r="G81" s="6">
        <f>Табл12[[#This Row],[Регулярный взнос]]*Табл12[[#This Row],[Период (№месяца)]]</f>
        <v>-590000.00000000116</v>
      </c>
      <c r="I81" s="21">
        <f>-Табл12[[#This Row],[Регулярный взнос]]</f>
        <v>10000.00000000002</v>
      </c>
      <c r="J81" s="21">
        <f>Табл12[[#This Row],[Начисленный % за период]]</f>
        <v>15325.628996791937</v>
      </c>
      <c r="K81" s="21">
        <f>I81*Табл12[[#This Row],[Период (№месяца)]]</f>
        <v>590000.00000000116</v>
      </c>
      <c r="L81" s="21">
        <f>SUM($J$22:J81)</f>
        <v>384265.35535834252</v>
      </c>
      <c r="M81" s="21">
        <f t="shared" si="3"/>
        <v>0</v>
      </c>
      <c r="N81" s="20"/>
    </row>
    <row r="82" spans="1:14" x14ac:dyDescent="0.25">
      <c r="A82" s="5">
        <f>IF(ROW()-ROW(Табл12[[#Headers],[Период (№месяца)]])&gt;$B$9,0,ROW()-ROW(Табл12[[#Headers],[Период (№месяца)]]))</f>
        <v>60</v>
      </c>
      <c r="B82" s="6">
        <f>$B$5+SUM($E$22:E81)</f>
        <v>-974265.3553583438</v>
      </c>
      <c r="C82" s="6">
        <f t="shared" si="4"/>
        <v>-10000.00000000002</v>
      </c>
      <c r="D82" s="6">
        <f t="shared" si="5"/>
        <v>15734.644641656349</v>
      </c>
      <c r="E82" s="6">
        <f t="shared" si="6"/>
        <v>-25734.64464165637</v>
      </c>
      <c r="F82" s="6">
        <f>SUM($E$22:E82)+$B$5</f>
        <v>-1000000.0000000002</v>
      </c>
      <c r="G82" s="6">
        <f>Табл12[[#This Row],[Регулярный взнос]]*Табл12[[#This Row],[Период (№месяца)]]</f>
        <v>-600000.00000000116</v>
      </c>
      <c r="I82" s="21">
        <f>-Табл12[[#This Row],[Регулярный взнос]]</f>
        <v>10000.00000000002</v>
      </c>
      <c r="J82" s="21">
        <f>Табл12[[#This Row],[Начисленный % за период]]</f>
        <v>15734.644641656349</v>
      </c>
      <c r="K82" s="21">
        <f>I82*Табл12[[#This Row],[Период (№месяца)]]</f>
        <v>600000.00000000116</v>
      </c>
      <c r="L82" s="21">
        <f>SUM($J$22:J82)</f>
        <v>399999.99999999889</v>
      </c>
      <c r="M82" s="21">
        <f t="shared" si="3"/>
        <v>0</v>
      </c>
      <c r="N82" s="20"/>
    </row>
    <row r="83" spans="1:14" x14ac:dyDescent="0.25">
      <c r="A83" t="s">
        <v>30</v>
      </c>
      <c r="C83" s="22">
        <f>SUBTOTAL(109,Табл12[Регулярный взнос])</f>
        <v>-600000.0000000007</v>
      </c>
      <c r="D83" s="22">
        <f>SUBTOTAL(109,Табл12[Начисленный % за период])</f>
        <v>399999.99999999889</v>
      </c>
      <c r="E83" s="22">
        <f>SUBTOTAL(109,Табл12[Пополнение вклада за период (Взнос + %)])</f>
        <v>-1000000.0000000002</v>
      </c>
      <c r="F83" s="6"/>
      <c r="G83" s="6"/>
    </row>
  </sheetData>
  <scenarios current="0" show="0">
    <scenario name="Миллион_ежемесячно" locked="1" count="5" user="Michael" comment="Начальный вклад = 0, Целевое =1 млн._x000a_Срок = 5 лет, число взносов в год = 12_x000a_Взнос =-12900">
      <inputCells r="B5" val="0" numFmtId="4"/>
      <inputCells r="B6" val="1000000" numFmtId="4"/>
      <inputCells r="B7" val="5" numFmtId="3"/>
      <inputCells r="B8" val="12" numFmtId="1"/>
      <inputCells r="B10" val="0"/>
    </scenario>
  </scenarios>
  <conditionalFormatting sqref="C16">
    <cfRule type="expression" dxfId="18" priority="2">
      <formula>-$B$16&gt;($B$6+$B$5)</formula>
    </cfRule>
  </conditionalFormatting>
  <conditionalFormatting sqref="B13:B14">
    <cfRule type="expression" dxfId="17" priority="1">
      <formula>$B$13&lt;0</formula>
    </cfRule>
  </conditionalFormatting>
  <hyperlinks>
    <hyperlink ref="D1" r:id="rId1"/>
  </hyperlinks>
  <pageMargins left="0.7" right="0.7" top="0.75" bottom="0.75" header="0.3" footer="0.3"/>
  <pageSetup paperSize="9" orientation="portrait" r:id="rId2"/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Выплата</vt:lpstr>
      <vt:lpstr>Лист7</vt:lpstr>
      <vt:lpstr>EXCEL2.RU</vt:lpstr>
      <vt:lpstr>Накопление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2012-05-10T04:44:58Z</dcterms:created>
  <dcterms:modified xsi:type="dcterms:W3CDTF">2015-04-19T18:10:42Z</dcterms:modified>
</cp:coreProperties>
</file>