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506"/>
  </bookViews>
  <sheets>
    <sheet name="principal" sheetId="19" r:id="rId1"/>
    <sheet name="Лист7" sheetId="18" state="hidden" r:id="rId2"/>
    <sheet name="EXCEL2.RU (2)" sheetId="22" state="veryHidden" r:id="rId3"/>
    <sheet name="EXCEL2.RU" sheetId="21" r:id="rId4"/>
    <sheet name="Задача" sheetId="20" r:id="rId5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15" i="20" l="1"/>
  <c r="A17" i="20" s="1"/>
  <c r="A13" i="20"/>
  <c r="B9" i="20"/>
  <c r="B8" i="20"/>
  <c r="B18" i="20" s="1"/>
  <c r="B14" i="20"/>
  <c r="A15" i="20"/>
  <c r="B11" i="20"/>
  <c r="B12" i="20" s="1"/>
  <c r="B11" i="19"/>
  <c r="B10" i="19"/>
  <c r="C28" i="19" s="1"/>
  <c r="C32" i="19"/>
  <c r="C40" i="19"/>
  <c r="C48" i="19"/>
  <c r="C52" i="19"/>
  <c r="C56" i="19"/>
  <c r="C60" i="19"/>
  <c r="C64" i="19"/>
  <c r="C68" i="19"/>
  <c r="C72" i="19"/>
  <c r="C76" i="19"/>
  <c r="C80" i="19"/>
  <c r="C84" i="19"/>
  <c r="C27" i="19"/>
  <c r="C31" i="19"/>
  <c r="C35" i="19"/>
  <c r="C39" i="19"/>
  <c r="C43" i="19"/>
  <c r="C47" i="19"/>
  <c r="C51" i="19"/>
  <c r="C55" i="19"/>
  <c r="C59" i="19"/>
  <c r="C63" i="19"/>
  <c r="C67" i="19"/>
  <c r="C71" i="19"/>
  <c r="C75" i="19"/>
  <c r="C79" i="19"/>
  <c r="C83" i="19"/>
  <c r="B27" i="19"/>
  <c r="A27" i="19"/>
  <c r="A29" i="19"/>
  <c r="A31" i="19"/>
  <c r="A33" i="19"/>
  <c r="B1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N36" i="19"/>
  <c r="N38" i="19"/>
  <c r="N40" i="19"/>
  <c r="N42" i="19"/>
  <c r="N44" i="19"/>
  <c r="N46" i="19"/>
  <c r="N48" i="19"/>
  <c r="N50" i="19"/>
  <c r="N52" i="19"/>
  <c r="N54" i="19"/>
  <c r="N56" i="19"/>
  <c r="N58" i="19"/>
  <c r="N60" i="19"/>
  <c r="N62" i="19"/>
  <c r="N64" i="19"/>
  <c r="N66" i="19"/>
  <c r="N68" i="19"/>
  <c r="N70" i="19"/>
  <c r="N72" i="19"/>
  <c r="N74" i="19"/>
  <c r="N76" i="19"/>
  <c r="N78" i="19"/>
  <c r="N80" i="19"/>
  <c r="N82" i="19"/>
  <c r="N84" i="19"/>
  <c r="N86" i="19"/>
  <c r="O36" i="19"/>
  <c r="O38" i="19"/>
  <c r="O40" i="19"/>
  <c r="O42" i="19"/>
  <c r="O44" i="19"/>
  <c r="O46" i="19"/>
  <c r="O48" i="19"/>
  <c r="O50" i="19"/>
  <c r="O52" i="19"/>
  <c r="O54" i="19"/>
  <c r="O56" i="19"/>
  <c r="O58" i="19"/>
  <c r="O60" i="19"/>
  <c r="O62" i="19"/>
  <c r="O64" i="19"/>
  <c r="O66" i="19"/>
  <c r="O68" i="19"/>
  <c r="O70" i="19"/>
  <c r="O72" i="19"/>
  <c r="O74" i="19"/>
  <c r="O76" i="19"/>
  <c r="O78" i="19"/>
  <c r="O80" i="19"/>
  <c r="O82" i="19"/>
  <c r="O84" i="19"/>
  <c r="N37" i="19"/>
  <c r="N39" i="19"/>
  <c r="N41" i="19"/>
  <c r="N43" i="19"/>
  <c r="N45" i="19"/>
  <c r="N47" i="19"/>
  <c r="N49" i="19"/>
  <c r="N51" i="19"/>
  <c r="N53" i="19"/>
  <c r="N55" i="19"/>
  <c r="N57" i="19"/>
  <c r="N59" i="19"/>
  <c r="N61" i="19"/>
  <c r="N63" i="19"/>
  <c r="N65" i="19"/>
  <c r="N67" i="19"/>
  <c r="N69" i="19"/>
  <c r="N71" i="19"/>
  <c r="N73" i="19"/>
  <c r="N75" i="19"/>
  <c r="N77" i="19"/>
  <c r="N79" i="19"/>
  <c r="N81" i="19"/>
  <c r="N83" i="19"/>
  <c r="N85" i="19"/>
  <c r="O86" i="19"/>
  <c r="O37" i="19"/>
  <c r="O39" i="19"/>
  <c r="O41" i="19"/>
  <c r="O43" i="19"/>
  <c r="O45" i="19"/>
  <c r="O47" i="19"/>
  <c r="O49" i="19"/>
  <c r="O51" i="19"/>
  <c r="O53" i="19"/>
  <c r="O55" i="19"/>
  <c r="O57" i="19"/>
  <c r="O59" i="19"/>
  <c r="O61" i="19"/>
  <c r="O63" i="19"/>
  <c r="O65" i="19"/>
  <c r="O67" i="19"/>
  <c r="O69" i="19"/>
  <c r="O71" i="19"/>
  <c r="O73" i="19"/>
  <c r="O75" i="19"/>
  <c r="O77" i="19"/>
  <c r="O79" i="19"/>
  <c r="O81" i="19"/>
  <c r="O83" i="19"/>
  <c r="O85" i="19"/>
  <c r="N28" i="19"/>
  <c r="N30" i="19"/>
  <c r="N32" i="19"/>
  <c r="N34" i="19"/>
  <c r="N27" i="19"/>
  <c r="N29" i="19"/>
  <c r="N31" i="19"/>
  <c r="N33" i="19"/>
  <c r="N35" i="19"/>
  <c r="O29" i="19"/>
  <c r="O33" i="19"/>
  <c r="O28" i="19"/>
  <c r="O32" i="19"/>
  <c r="O27" i="19"/>
  <c r="O31" i="19"/>
  <c r="O35" i="19"/>
  <c r="O30" i="19"/>
  <c r="O34" i="19"/>
  <c r="J84" i="19"/>
  <c r="K84" i="19"/>
  <c r="K85" i="19"/>
  <c r="J85" i="19"/>
  <c r="K83" i="19"/>
  <c r="J83" i="19"/>
  <c r="K81" i="19"/>
  <c r="J81" i="19"/>
  <c r="K79" i="19"/>
  <c r="J79" i="19"/>
  <c r="K77" i="19"/>
  <c r="J77" i="19"/>
  <c r="K75" i="19"/>
  <c r="J75" i="19"/>
  <c r="K73" i="19"/>
  <c r="J73" i="19"/>
  <c r="K71" i="19"/>
  <c r="J71" i="19"/>
  <c r="K69" i="19"/>
  <c r="J69" i="19"/>
  <c r="K67" i="19"/>
  <c r="J67" i="19"/>
  <c r="K65" i="19"/>
  <c r="J65" i="19"/>
  <c r="K63" i="19"/>
  <c r="J63" i="19"/>
  <c r="K61" i="19"/>
  <c r="J61" i="19"/>
  <c r="K59" i="19"/>
  <c r="J59" i="19"/>
  <c r="K57" i="19"/>
  <c r="J57" i="19"/>
  <c r="K55" i="19"/>
  <c r="J55" i="19"/>
  <c r="K53" i="19"/>
  <c r="J53" i="19"/>
  <c r="K51" i="19"/>
  <c r="J51" i="19"/>
  <c r="K49" i="19"/>
  <c r="J49" i="19"/>
  <c r="K47" i="19"/>
  <c r="J47" i="19"/>
  <c r="K45" i="19"/>
  <c r="J45" i="19"/>
  <c r="K43" i="19"/>
  <c r="J43" i="19"/>
  <c r="K41" i="19"/>
  <c r="J41" i="19"/>
  <c r="K39" i="19"/>
  <c r="J39" i="19"/>
  <c r="K37" i="19"/>
  <c r="J37" i="19"/>
  <c r="K35" i="19"/>
  <c r="J35" i="19"/>
  <c r="J86" i="19"/>
  <c r="K86" i="19"/>
  <c r="J82" i="19"/>
  <c r="K82" i="19"/>
  <c r="J80" i="19"/>
  <c r="K80" i="19"/>
  <c r="J78" i="19"/>
  <c r="K78" i="19"/>
  <c r="J76" i="19"/>
  <c r="K76" i="19"/>
  <c r="J74" i="19"/>
  <c r="K74" i="19"/>
  <c r="J72" i="19"/>
  <c r="K72" i="19"/>
  <c r="J70" i="19"/>
  <c r="K70" i="19"/>
  <c r="J68" i="19"/>
  <c r="K68" i="19"/>
  <c r="J66" i="19"/>
  <c r="K66" i="19"/>
  <c r="J64" i="19"/>
  <c r="K64" i="19"/>
  <c r="J62" i="19"/>
  <c r="K62" i="19"/>
  <c r="J60" i="19"/>
  <c r="K60" i="19"/>
  <c r="J58" i="19"/>
  <c r="K58" i="19"/>
  <c r="J56" i="19"/>
  <c r="K56" i="19"/>
  <c r="J54" i="19"/>
  <c r="K54" i="19"/>
  <c r="J52" i="19"/>
  <c r="K52" i="19"/>
  <c r="J50" i="19"/>
  <c r="K50" i="19"/>
  <c r="J48" i="19"/>
  <c r="K48" i="19"/>
  <c r="J46" i="19"/>
  <c r="K46" i="19"/>
  <c r="J44" i="19"/>
  <c r="K44" i="19"/>
  <c r="J42" i="19"/>
  <c r="K42" i="19"/>
  <c r="J40" i="19"/>
  <c r="K40" i="19"/>
  <c r="J38" i="19"/>
  <c r="K38" i="19"/>
  <c r="J36" i="19"/>
  <c r="K36" i="19"/>
  <c r="J34" i="19"/>
  <c r="K34" i="19"/>
  <c r="K33" i="19"/>
  <c r="J33" i="19"/>
  <c r="K31" i="19"/>
  <c r="J31" i="19"/>
  <c r="K29" i="19"/>
  <c r="J29" i="19"/>
  <c r="K27" i="19"/>
  <c r="J27" i="19"/>
  <c r="B19" i="19"/>
  <c r="B21" i="19"/>
  <c r="B22" i="19"/>
  <c r="B20" i="19"/>
  <c r="I86" i="19"/>
  <c r="I34" i="19"/>
  <c r="I36" i="19"/>
  <c r="I38" i="19"/>
  <c r="I40" i="19"/>
  <c r="I42" i="19"/>
  <c r="I44" i="19"/>
  <c r="I46" i="19"/>
  <c r="I48" i="19"/>
  <c r="I50" i="19"/>
  <c r="I52" i="19"/>
  <c r="I54" i="19"/>
  <c r="I56" i="19"/>
  <c r="I58" i="19"/>
  <c r="I60" i="19"/>
  <c r="I62" i="19"/>
  <c r="I64" i="19"/>
  <c r="I66" i="19"/>
  <c r="I68" i="19"/>
  <c r="I70" i="19"/>
  <c r="I72" i="19"/>
  <c r="I74" i="19"/>
  <c r="I76" i="19"/>
  <c r="I78" i="19"/>
  <c r="I80" i="19"/>
  <c r="I82" i="19"/>
  <c r="I84" i="19"/>
  <c r="I27" i="19"/>
  <c r="I29" i="19"/>
  <c r="I31" i="19"/>
  <c r="I33" i="19"/>
  <c r="I35" i="19"/>
  <c r="I37" i="19"/>
  <c r="I39" i="19"/>
  <c r="I41" i="19"/>
  <c r="I43" i="19"/>
  <c r="I45" i="19"/>
  <c r="I47" i="19"/>
  <c r="I49" i="19"/>
  <c r="I51" i="19"/>
  <c r="I53" i="19"/>
  <c r="I55" i="19"/>
  <c r="I57" i="19"/>
  <c r="I59" i="19"/>
  <c r="I61" i="19"/>
  <c r="I63" i="19"/>
  <c r="I65" i="19"/>
  <c r="I67" i="19"/>
  <c r="I69" i="19"/>
  <c r="I71" i="19"/>
  <c r="I73" i="19"/>
  <c r="I75" i="19"/>
  <c r="I77" i="19"/>
  <c r="I79" i="19"/>
  <c r="I81" i="19"/>
  <c r="I83" i="19"/>
  <c r="I85" i="19"/>
  <c r="E83" i="19"/>
  <c r="D83" i="19"/>
  <c r="E79" i="19"/>
  <c r="D79" i="19"/>
  <c r="E75" i="19"/>
  <c r="D75" i="19"/>
  <c r="E71" i="19"/>
  <c r="D71" i="19"/>
  <c r="E67" i="19"/>
  <c r="D67" i="19"/>
  <c r="E63" i="19"/>
  <c r="D63" i="19"/>
  <c r="E59" i="19"/>
  <c r="D59" i="19"/>
  <c r="E55" i="19"/>
  <c r="D55" i="19"/>
  <c r="E51" i="19"/>
  <c r="D51" i="19"/>
  <c r="E47" i="19"/>
  <c r="D47" i="19"/>
  <c r="E43" i="19"/>
  <c r="D43" i="19"/>
  <c r="E41" i="19"/>
  <c r="D41" i="19"/>
  <c r="E39" i="19"/>
  <c r="D39" i="19"/>
  <c r="E37" i="19"/>
  <c r="D37" i="19"/>
  <c r="E35" i="19"/>
  <c r="D35" i="19"/>
  <c r="E85" i="19"/>
  <c r="D85" i="19"/>
  <c r="E81" i="19"/>
  <c r="D81" i="19"/>
  <c r="E77" i="19"/>
  <c r="D77" i="19"/>
  <c r="E73" i="19"/>
  <c r="D73" i="19"/>
  <c r="E69" i="19"/>
  <c r="D69" i="19"/>
  <c r="E65" i="19"/>
  <c r="D65" i="19"/>
  <c r="E61" i="19"/>
  <c r="D61" i="19"/>
  <c r="E57" i="19"/>
  <c r="D57" i="19"/>
  <c r="E53" i="19"/>
  <c r="D53" i="19"/>
  <c r="E49" i="19"/>
  <c r="D49" i="19"/>
  <c r="E45" i="19"/>
  <c r="D45" i="19"/>
  <c r="E86" i="19"/>
  <c r="D86" i="19"/>
  <c r="E84" i="19"/>
  <c r="D84" i="19"/>
  <c r="E82" i="19"/>
  <c r="D82" i="19"/>
  <c r="E80" i="19"/>
  <c r="D80" i="19"/>
  <c r="E78" i="19"/>
  <c r="D78" i="19"/>
  <c r="E76" i="19"/>
  <c r="D76" i="19"/>
  <c r="E74" i="19"/>
  <c r="D74" i="19"/>
  <c r="E72" i="19"/>
  <c r="D72" i="19"/>
  <c r="E70" i="19"/>
  <c r="D70" i="19"/>
  <c r="E68" i="19"/>
  <c r="D68" i="19"/>
  <c r="E66" i="19"/>
  <c r="D66" i="19"/>
  <c r="E64" i="19"/>
  <c r="D64" i="19"/>
  <c r="E62" i="19"/>
  <c r="D62" i="19"/>
  <c r="E60" i="19"/>
  <c r="D60" i="19"/>
  <c r="E58" i="19"/>
  <c r="D58" i="19"/>
  <c r="E56" i="19"/>
  <c r="D56" i="19"/>
  <c r="E54" i="19"/>
  <c r="D54" i="19"/>
  <c r="E52" i="19"/>
  <c r="D52" i="19"/>
  <c r="E50" i="19"/>
  <c r="D50" i="19"/>
  <c r="E48" i="19"/>
  <c r="D48" i="19"/>
  <c r="E46" i="19"/>
  <c r="D46" i="19"/>
  <c r="E44" i="19"/>
  <c r="D44" i="19"/>
  <c r="E42" i="19"/>
  <c r="D42" i="19"/>
  <c r="E40" i="19"/>
  <c r="D40" i="19"/>
  <c r="E38" i="19"/>
  <c r="D38" i="19"/>
  <c r="E36" i="19"/>
  <c r="D36" i="19"/>
  <c r="E34" i="19"/>
  <c r="D34" i="19"/>
  <c r="E33" i="19"/>
  <c r="D33" i="19"/>
  <c r="E31" i="19"/>
  <c r="D31" i="19"/>
  <c r="E29" i="19"/>
  <c r="D29" i="19"/>
  <c r="E27" i="19"/>
  <c r="D27" i="19"/>
  <c r="H34" i="19"/>
  <c r="H38" i="19"/>
  <c r="H42" i="19"/>
  <c r="H46" i="19"/>
  <c r="H50" i="19"/>
  <c r="H54" i="19"/>
  <c r="H58" i="19"/>
  <c r="H62" i="19"/>
  <c r="H66" i="19"/>
  <c r="H70" i="19"/>
  <c r="H74" i="19"/>
  <c r="H78" i="19"/>
  <c r="H82" i="19"/>
  <c r="H86" i="19"/>
  <c r="H29" i="19"/>
  <c r="H33" i="19"/>
  <c r="H37" i="19"/>
  <c r="H41" i="19"/>
  <c r="H45" i="19"/>
  <c r="H49" i="19"/>
  <c r="H53" i="19"/>
  <c r="H57" i="19"/>
  <c r="H61" i="19"/>
  <c r="H65" i="19"/>
  <c r="H69" i="19"/>
  <c r="H73" i="19"/>
  <c r="H77" i="19"/>
  <c r="H81" i="19"/>
  <c r="H85" i="19"/>
  <c r="H36" i="19"/>
  <c r="H40" i="19"/>
  <c r="H44" i="19"/>
  <c r="H48" i="19"/>
  <c r="H52" i="19"/>
  <c r="H56" i="19"/>
  <c r="H60" i="19"/>
  <c r="H64" i="19"/>
  <c r="H68" i="19"/>
  <c r="H72" i="19"/>
  <c r="H76" i="19"/>
  <c r="H80" i="19"/>
  <c r="H84" i="19"/>
  <c r="H27" i="19"/>
  <c r="H31" i="19"/>
  <c r="H35" i="19"/>
  <c r="H39" i="19"/>
  <c r="H43" i="19"/>
  <c r="H47" i="19"/>
  <c r="H51" i="19"/>
  <c r="H55" i="19"/>
  <c r="H59" i="19"/>
  <c r="H63" i="19"/>
  <c r="H67" i="19"/>
  <c r="H71" i="19"/>
  <c r="H75" i="19"/>
  <c r="H79" i="19"/>
  <c r="H83" i="19"/>
  <c r="P34" i="19"/>
  <c r="P35" i="19"/>
  <c r="P27" i="19"/>
  <c r="P29" i="19"/>
  <c r="P85" i="19"/>
  <c r="P81" i="19"/>
  <c r="P77" i="19"/>
  <c r="P73" i="19"/>
  <c r="P69" i="19"/>
  <c r="P65" i="19"/>
  <c r="P61" i="19"/>
  <c r="P57" i="19"/>
  <c r="P53" i="19"/>
  <c r="P49" i="19"/>
  <c r="P45" i="19"/>
  <c r="P41" i="19"/>
  <c r="P37" i="19"/>
  <c r="P82" i="19"/>
  <c r="P78" i="19"/>
  <c r="P74" i="19"/>
  <c r="P70" i="19"/>
  <c r="P66" i="19"/>
  <c r="P62" i="19"/>
  <c r="P58" i="19"/>
  <c r="P54" i="19"/>
  <c r="P50" i="19"/>
  <c r="P46" i="19"/>
  <c r="P42" i="19"/>
  <c r="P38" i="19"/>
  <c r="P31" i="19"/>
  <c r="P33" i="19"/>
  <c r="P83" i="19"/>
  <c r="P79" i="19"/>
  <c r="P75" i="19"/>
  <c r="P71" i="19"/>
  <c r="P67" i="19"/>
  <c r="P63" i="19"/>
  <c r="P59" i="19"/>
  <c r="P55" i="19"/>
  <c r="P51" i="19"/>
  <c r="P47" i="19"/>
  <c r="P43" i="19"/>
  <c r="P39" i="19"/>
  <c r="P86" i="19"/>
  <c r="P84" i="19"/>
  <c r="P80" i="19"/>
  <c r="P76" i="19"/>
  <c r="P72" i="19"/>
  <c r="P68" i="19"/>
  <c r="P64" i="19"/>
  <c r="P60" i="19"/>
  <c r="P56" i="19"/>
  <c r="P52" i="19"/>
  <c r="P48" i="19"/>
  <c r="P44" i="19"/>
  <c r="P40" i="19"/>
  <c r="P36" i="19"/>
  <c r="G27" i="19"/>
  <c r="F27" i="19"/>
  <c r="B28" i="19"/>
  <c r="C44" i="19" l="1"/>
  <c r="C36" i="19"/>
  <c r="B17" i="19"/>
  <c r="A32" i="19"/>
  <c r="A30" i="19"/>
  <c r="A28" i="19"/>
  <c r="C85" i="19"/>
  <c r="C81" i="19"/>
  <c r="C77" i="19"/>
  <c r="C73" i="19"/>
  <c r="C69" i="19"/>
  <c r="C65" i="19"/>
  <c r="C61" i="19"/>
  <c r="C57" i="19"/>
  <c r="C53" i="19"/>
  <c r="C49" i="19"/>
  <c r="C45" i="19"/>
  <c r="C41" i="19"/>
  <c r="C37" i="19"/>
  <c r="C33" i="19"/>
  <c r="C29" i="19"/>
  <c r="C86" i="19"/>
  <c r="C82" i="19"/>
  <c r="C78" i="19"/>
  <c r="C74" i="19"/>
  <c r="C70" i="19"/>
  <c r="C66" i="19"/>
  <c r="C62" i="19"/>
  <c r="C58" i="19"/>
  <c r="C54" i="19"/>
  <c r="C50" i="19"/>
  <c r="C46" i="19"/>
  <c r="C42" i="19"/>
  <c r="C38" i="19"/>
  <c r="C34" i="19"/>
  <c r="C30" i="19"/>
  <c r="B16" i="20"/>
  <c r="B10" i="20"/>
  <c r="B18" i="19"/>
  <c r="B20" i="20" l="1"/>
  <c r="B13" i="20"/>
  <c r="B15" i="20" s="1"/>
  <c r="B17" i="20" s="1"/>
  <c r="B19" i="20"/>
  <c r="K30" i="19"/>
  <c r="D30" i="19"/>
  <c r="P30" i="19" s="1"/>
  <c r="J30" i="19"/>
  <c r="I30" i="19"/>
  <c r="E30" i="19"/>
  <c r="H30" i="19"/>
  <c r="C87" i="19"/>
  <c r="K28" i="19"/>
  <c r="I28" i="19"/>
  <c r="D28" i="19"/>
  <c r="J28" i="19"/>
  <c r="E28" i="19"/>
  <c r="H28" i="19"/>
  <c r="K32" i="19"/>
  <c r="I32" i="19"/>
  <c r="D32" i="19"/>
  <c r="P32" i="19" s="1"/>
  <c r="H32" i="19"/>
  <c r="J32" i="19"/>
  <c r="E32" i="19"/>
  <c r="E87" i="19" l="1"/>
  <c r="F30" i="19"/>
  <c r="F34" i="19"/>
  <c r="F38" i="19"/>
  <c r="F42" i="19"/>
  <c r="F46" i="19"/>
  <c r="F50" i="19"/>
  <c r="F54" i="19"/>
  <c r="F58" i="19"/>
  <c r="F62" i="19"/>
  <c r="F66" i="19"/>
  <c r="F70" i="19"/>
  <c r="F74" i="19"/>
  <c r="F78" i="19"/>
  <c r="F82" i="19"/>
  <c r="F86" i="19"/>
  <c r="B32" i="19"/>
  <c r="G32" i="19" s="1"/>
  <c r="B34" i="19"/>
  <c r="G34" i="19" s="1"/>
  <c r="B36" i="19"/>
  <c r="G36" i="19" s="1"/>
  <c r="B38" i="19"/>
  <c r="G38" i="19" s="1"/>
  <c r="B40" i="19"/>
  <c r="G40" i="19" s="1"/>
  <c r="B42" i="19"/>
  <c r="G42" i="19" s="1"/>
  <c r="B44" i="19"/>
  <c r="G44" i="19" s="1"/>
  <c r="B46" i="19"/>
  <c r="G46" i="19" s="1"/>
  <c r="B48" i="19"/>
  <c r="G48" i="19" s="1"/>
  <c r="B50" i="19"/>
  <c r="G50" i="19" s="1"/>
  <c r="B52" i="19"/>
  <c r="G52" i="19" s="1"/>
  <c r="B54" i="19"/>
  <c r="G54" i="19" s="1"/>
  <c r="B56" i="19"/>
  <c r="G56" i="19" s="1"/>
  <c r="B58" i="19"/>
  <c r="G58" i="19" s="1"/>
  <c r="B60" i="19"/>
  <c r="G60" i="19" s="1"/>
  <c r="B62" i="19"/>
  <c r="G62" i="19" s="1"/>
  <c r="F28" i="19"/>
  <c r="F36" i="19"/>
  <c r="F44" i="19"/>
  <c r="F52" i="19"/>
  <c r="F60" i="19"/>
  <c r="F68" i="19"/>
  <c r="F76" i="19"/>
  <c r="F84" i="19"/>
  <c r="B64" i="19"/>
  <c r="G64" i="19" s="1"/>
  <c r="B66" i="19"/>
  <c r="G66" i="19" s="1"/>
  <c r="B68" i="19"/>
  <c r="G68" i="19" s="1"/>
  <c r="B70" i="19"/>
  <c r="G70" i="19" s="1"/>
  <c r="B72" i="19"/>
  <c r="G72" i="19" s="1"/>
  <c r="B74" i="19"/>
  <c r="G74" i="19" s="1"/>
  <c r="B76" i="19"/>
  <c r="G76" i="19" s="1"/>
  <c r="B78" i="19"/>
  <c r="G78" i="19" s="1"/>
  <c r="B80" i="19"/>
  <c r="G80" i="19" s="1"/>
  <c r="B82" i="19"/>
  <c r="G82" i="19" s="1"/>
  <c r="B84" i="19"/>
  <c r="G84" i="19" s="1"/>
  <c r="B86" i="19"/>
  <c r="G86" i="19" s="1"/>
  <c r="D87" i="19"/>
  <c r="F31" i="19"/>
  <c r="F35" i="19"/>
  <c r="F39" i="19"/>
  <c r="F43" i="19"/>
  <c r="F47" i="19"/>
  <c r="F51" i="19"/>
  <c r="F55" i="19"/>
  <c r="F59" i="19"/>
  <c r="F63" i="19"/>
  <c r="F67" i="19"/>
  <c r="F71" i="19"/>
  <c r="F75" i="19"/>
  <c r="F79" i="19"/>
  <c r="F83" i="19"/>
  <c r="B31" i="19"/>
  <c r="G31" i="19" s="1"/>
  <c r="B33" i="19"/>
  <c r="G33" i="19" s="1"/>
  <c r="B35" i="19"/>
  <c r="G35" i="19" s="1"/>
  <c r="B37" i="19"/>
  <c r="G37" i="19" s="1"/>
  <c r="B39" i="19"/>
  <c r="G39" i="19" s="1"/>
  <c r="B41" i="19"/>
  <c r="G41" i="19" s="1"/>
  <c r="B43" i="19"/>
  <c r="G43" i="19" s="1"/>
  <c r="B45" i="19"/>
  <c r="G45" i="19" s="1"/>
  <c r="B47" i="19"/>
  <c r="G47" i="19" s="1"/>
  <c r="B49" i="19"/>
  <c r="G49" i="19" s="1"/>
  <c r="B51" i="19"/>
  <c r="G51" i="19" s="1"/>
  <c r="B53" i="19"/>
  <c r="G53" i="19" s="1"/>
  <c r="B55" i="19"/>
  <c r="G55" i="19" s="1"/>
  <c r="B57" i="19"/>
  <c r="G57" i="19" s="1"/>
  <c r="B59" i="19"/>
  <c r="G59" i="19" s="1"/>
  <c r="B61" i="19"/>
  <c r="G61" i="19" s="1"/>
  <c r="B63" i="19"/>
  <c r="G63" i="19" s="1"/>
  <c r="B65" i="19"/>
  <c r="G65" i="19" s="1"/>
  <c r="B67" i="19"/>
  <c r="G67" i="19" s="1"/>
  <c r="B69" i="19"/>
  <c r="G69" i="19" s="1"/>
  <c r="B71" i="19"/>
  <c r="G71" i="19" s="1"/>
  <c r="B73" i="19"/>
  <c r="G73" i="19" s="1"/>
  <c r="B75" i="19"/>
  <c r="G75" i="19" s="1"/>
  <c r="B77" i="19"/>
  <c r="G77" i="19" s="1"/>
  <c r="B79" i="19"/>
  <c r="G79" i="19" s="1"/>
  <c r="B81" i="19"/>
  <c r="G81" i="19" s="1"/>
  <c r="B83" i="19"/>
  <c r="G83" i="19" s="1"/>
  <c r="B85" i="19"/>
  <c r="G85" i="19" s="1"/>
  <c r="F65" i="19"/>
  <c r="F77" i="19"/>
  <c r="B29" i="19"/>
  <c r="G29" i="19" s="1"/>
  <c r="P28" i="19"/>
  <c r="F32" i="19"/>
  <c r="F40" i="19"/>
  <c r="F48" i="19"/>
  <c r="F56" i="19"/>
  <c r="F64" i="19"/>
  <c r="F72" i="19"/>
  <c r="F80" i="19"/>
  <c r="B30" i="19"/>
  <c r="G30" i="19" s="1"/>
  <c r="F29" i="19"/>
  <c r="F33" i="19"/>
  <c r="F37" i="19"/>
  <c r="F41" i="19"/>
  <c r="F45" i="19"/>
  <c r="F49" i="19"/>
  <c r="F53" i="19"/>
  <c r="F57" i="19"/>
  <c r="F61" i="19"/>
  <c r="F69" i="19"/>
  <c r="F73" i="19"/>
  <c r="F81" i="19"/>
  <c r="F85" i="19"/>
  <c r="G28" i="19"/>
</calcChain>
</file>

<file path=xl/sharedStrings.xml><?xml version="1.0" encoding="utf-8"?>
<sst xmlns="http://schemas.openxmlformats.org/spreadsheetml/2006/main" count="106" uniqueCount="76">
  <si>
    <t>Названия строк</t>
  </si>
  <si>
    <t>Названия столбцов</t>
  </si>
  <si>
    <t>Значения</t>
  </si>
  <si>
    <t>Фильтр отчета</t>
  </si>
  <si>
    <t>type</t>
  </si>
  <si>
    <t>тип</t>
  </si>
  <si>
    <t>Future value</t>
  </si>
  <si>
    <t>fv</t>
  </si>
  <si>
    <t>бс</t>
  </si>
  <si>
    <t>Present value (Loan amount)</t>
  </si>
  <si>
    <t>pv</t>
  </si>
  <si>
    <t>пс</t>
  </si>
  <si>
    <t>Months</t>
  </si>
  <si>
    <t>nper</t>
  </si>
  <si>
    <t>кпер</t>
  </si>
  <si>
    <t>Число периодов</t>
  </si>
  <si>
    <t>Interest rate</t>
  </si>
  <si>
    <t>rate</t>
  </si>
  <si>
    <t>ставка</t>
  </si>
  <si>
    <t>% годовой</t>
  </si>
  <si>
    <t>Тип выплаты</t>
  </si>
  <si>
    <t>Параметр</t>
  </si>
  <si>
    <t>Значение</t>
  </si>
  <si>
    <t>Перевод</t>
  </si>
  <si>
    <t>Ежемесячный платеж (аннуитет)</t>
  </si>
  <si>
    <t>Остаток в конце</t>
  </si>
  <si>
    <t>Период (№месяца)</t>
  </si>
  <si>
    <t>Платеж</t>
  </si>
  <si>
    <t>Баланс на начало периода</t>
  </si>
  <si>
    <t>Тело кредита</t>
  </si>
  <si>
    <t>Процент</t>
  </si>
  <si>
    <t>Итог</t>
  </si>
  <si>
    <t>Таблица ежемесячных платежей (с использованием Финансовых функций EXCEL)</t>
  </si>
  <si>
    <t>% за период</t>
  </si>
  <si>
    <t>0- в конце, 1 - в начале периода</t>
  </si>
  <si>
    <t>Число платежей в год</t>
  </si>
  <si>
    <t>Срок кредита, лет</t>
  </si>
  <si>
    <t>Размер ссуды</t>
  </si>
  <si>
    <t>Баланс на начало периода2</t>
  </si>
  <si>
    <t>Баланс на конец периода</t>
  </si>
  <si>
    <t>Баланс на конец периода2</t>
  </si>
  <si>
    <t>Всего погашено тело кредита</t>
  </si>
  <si>
    <t>Аргумент</t>
  </si>
  <si>
    <t>ПЛТ</t>
  </si>
  <si>
    <t>pmt</t>
  </si>
  <si>
    <t>Начальный период</t>
  </si>
  <si>
    <t>Конечный период</t>
  </si>
  <si>
    <t>Выплачено между периодами</t>
  </si>
  <si>
    <t>ОБЩДОХОД</t>
  </si>
  <si>
    <t>ОСПЛТ</t>
  </si>
  <si>
    <t>приведенная стоимость (формулы)</t>
  </si>
  <si>
    <t>будущая стоимость (формулы)</t>
  </si>
  <si>
    <t>приведенная стоимость (через ПС)</t>
  </si>
  <si>
    <t>будущая стоимость (через БС)</t>
  </si>
  <si>
    <t>Баланс на начало периода3</t>
  </si>
  <si>
    <t>Баланс на конец периода3</t>
  </si>
  <si>
    <t>ОСПЛТ1</t>
  </si>
  <si>
    <t>ОСПЛТ2</t>
  </si>
  <si>
    <t>Формулы эквивалентные ОСПЛТ()</t>
  </si>
  <si>
    <t>проверка</t>
  </si>
  <si>
    <t>Период</t>
  </si>
  <si>
    <t>альтернативный расчет</t>
  </si>
  <si>
    <t>расчет с ПЛТ()</t>
  </si>
  <si>
    <t>Всего выплачено %</t>
  </si>
  <si>
    <t>расчет с ПРПЛТ()</t>
  </si>
  <si>
    <t>расчет с ОСПЛТ()</t>
  </si>
  <si>
    <t>за весь срок кредита</t>
  </si>
  <si>
    <t>вычислено через ОБЩДОХОД()</t>
  </si>
  <si>
    <t>вычислено через Приведенную стоимость</t>
  </si>
  <si>
    <t>включительно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</si>
  <si>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</si>
  <si>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</si>
  <si>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</si>
  <si>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</si>
  <si>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</si>
  <si>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Аннуитет. Расчёт в MS EXCEL погашение основной суммы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</si>
</sst>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164" formatCode="_(&quot;$&quot;* #,##0.00_);_(&quot;$&quot;* \(#,##0.00\);_(&quot;$&quot;* &quot;-&quot;??_);_(@_)"/>
    <numFmt numFmtId="165" formatCode="0.0%"/>
    <numFmt numFmtId="166" formatCode="0.000%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13" fillId="0" borderId="0"/>
    <xf numFmtId="0" fontId="14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NumberFormat="1"/>
    <xf numFmtId="8" fontId="0" fillId="0" borderId="0" xfId="0" applyNumberFormat="1"/>
    <xf numFmtId="0" fontId="0" fillId="0" borderId="12" xfId="0" applyBorder="1"/>
    <xf numFmtId="165" fontId="7" fillId="0" borderId="12" xfId="5" applyNumberFormat="1" applyFont="1" applyBorder="1"/>
    <xf numFmtId="166" fontId="0" fillId="0" borderId="0" xfId="5" applyNumberFormat="1" applyFont="1"/>
    <xf numFmtId="0" fontId="7" fillId="0" borderId="12" xfId="0" applyFont="1" applyBorder="1"/>
    <xf numFmtId="0" fontId="1" fillId="0" borderId="12" xfId="0" applyFont="1" applyBorder="1"/>
    <xf numFmtId="0" fontId="0" fillId="0" borderId="0" xfId="0" applyBorder="1"/>
    <xf numFmtId="8" fontId="0" fillId="0" borderId="12" xfId="0" applyNumberFormat="1" applyBorder="1"/>
    <xf numFmtId="8" fontId="0" fillId="0" borderId="0" xfId="0" applyNumberFormat="1" applyBorder="1"/>
    <xf numFmtId="4" fontId="7" fillId="0" borderId="12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12" xfId="0" applyFont="1" applyBorder="1"/>
    <xf numFmtId="10" fontId="8" fillId="0" borderId="12" xfId="5" applyNumberFormat="1" applyFont="1" applyBorder="1"/>
    <xf numFmtId="1" fontId="7" fillId="0" borderId="12" xfId="5" applyNumberFormat="1" applyFont="1" applyBorder="1"/>
    <xf numFmtId="3" fontId="7" fillId="0" borderId="12" xfId="0" applyNumberFormat="1" applyFont="1" applyBorder="1"/>
    <xf numFmtId="8" fontId="0" fillId="0" borderId="0" xfId="0" applyNumberFormat="1" applyAlignment="1">
      <alignment wrapText="1"/>
    </xf>
    <xf numFmtId="2" fontId="0" fillId="0" borderId="0" xfId="0" applyNumberFormat="1"/>
    <xf numFmtId="4" fontId="0" fillId="0" borderId="0" xfId="0" applyNumberFormat="1"/>
    <xf numFmtId="8" fontId="9" fillId="0" borderId="0" xfId="0" applyNumberFormat="1" applyFont="1"/>
    <xf numFmtId="4" fontId="10" fillId="0" borderId="0" xfId="0" applyNumberFormat="1" applyFont="1"/>
    <xf numFmtId="0" fontId="0" fillId="0" borderId="12" xfId="0" applyFill="1" applyBorder="1"/>
    <xf numFmtId="0" fontId="0" fillId="0" borderId="12" xfId="0" applyFont="1" applyBorder="1"/>
    <xf numFmtId="8" fontId="0" fillId="0" borderId="13" xfId="0" applyNumberFormat="1" applyBorder="1"/>
    <xf numFmtId="0" fontId="0" fillId="0" borderId="12" xfId="0" applyFont="1" applyFill="1" applyBorder="1"/>
    <xf numFmtId="8" fontId="7" fillId="0" borderId="0" xfId="0" applyNumberFormat="1" applyFont="1" applyBorder="1"/>
    <xf numFmtId="2" fontId="0" fillId="0" borderId="12" xfId="0" applyNumberFormat="1" applyBorder="1"/>
    <xf numFmtId="0" fontId="1" fillId="0" borderId="12" xfId="0" applyFont="1" applyBorder="1" applyAlignment="1">
      <alignment horizontal="centerContinuous"/>
    </xf>
    <xf numFmtId="0" fontId="0" fillId="0" borderId="12" xfId="0" applyFont="1" applyFill="1" applyBorder="1" applyAlignment="1">
      <alignment wrapText="1"/>
    </xf>
    <xf numFmtId="10" fontId="0" fillId="0" borderId="0" xfId="0" applyNumberFormat="1"/>
    <xf numFmtId="0" fontId="0" fillId="0" borderId="12" xfId="0" applyBorder="1" applyAlignment="1">
      <alignment wrapText="1"/>
    </xf>
    <xf numFmtId="0" fontId="12" fillId="3" borderId="0" xfId="1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2" borderId="0" xfId="4" applyFont="1" applyFill="1" applyAlignment="1" applyProtection="1">
      <alignment horizontal="center" vertical="center"/>
    </xf>
    <xf numFmtId="0" fontId="11" fillId="2" borderId="0" xfId="8" applyFont="1" applyFill="1" applyAlignment="1" applyProtection="1">
      <alignment vertical="center"/>
    </xf>
    <xf numFmtId="0" fontId="15" fillId="4" borderId="0" xfId="0" applyFont="1" applyFill="1" applyAlignment="1"/>
    <xf numFmtId="0" fontId="16" fillId="4" borderId="0" xfId="0" applyFont="1" applyFill="1" applyAlignment="1">
      <alignment vertical="center"/>
    </xf>
    <xf numFmtId="0" fontId="5" fillId="4" borderId="0" xfId="4" applyFill="1" applyAlignment="1" applyProtection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Процентный" xfId="5" builtinId="5"/>
  </cellStyles>
  <dxfs count="16"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  <alignment horizontal="general" vertical="bottom" textRotation="0" wrapText="1" relativeIndent="0" justifyLastLine="0" shrinkToFit="0" readingOrder="0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numFmt numFmtId="12" formatCode="#,##0.00&quot;р.&quot;;[Red]\-#,##0.00&quot;р.&quot;"/>
    </dxf>
    <dxf>
      <numFmt numFmtId="0" formatCode="General"/>
    </dxf>
    <dxf>
      <alignment horizontal="left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Соотношение доли платежа, идущего на погашение Тела кредита и доли на выплат Процентов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522535630788166E-2"/>
          <c:y val="0.24452929527583767"/>
          <c:w val="0.90503058964774108"/>
          <c:h val="0.66369553941243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principal!$D$26</c:f>
              <c:strCache>
                <c:ptCount val="1"/>
                <c:pt idx="0">
                  <c:v>Тело кредита</c:v>
                </c:pt>
              </c:strCache>
            </c:strRef>
          </c:tx>
          <c:invertIfNegative val="0"/>
          <c:val>
            <c:numRef>
              <c:f>principal!$D$27:$D$86</c:f>
              <c:numCache>
                <c:formatCode>"р."#,##0.00_);[Red]\("р."#,##0.00\)</c:formatCode>
                <c:ptCount val="60"/>
                <c:pt idx="0">
                  <c:v>-1851.005200232855</c:v>
                </c:pt>
                <c:pt idx="1">
                  <c:v>-1033.0969102347954</c:v>
                </c:pt>
                <c:pt idx="2">
                  <c:v>-1041.7060511534187</c:v>
                </c:pt>
                <c:pt idx="3">
                  <c:v>-1050.3869349130305</c:v>
                </c:pt>
                <c:pt idx="4">
                  <c:v>-1059.1401593706391</c:v>
                </c:pt>
                <c:pt idx="5">
                  <c:v>-1067.9663273653944</c:v>
                </c:pt>
                <c:pt idx="6">
                  <c:v>-1076.866046760106</c:v>
                </c:pt>
                <c:pt idx="7">
                  <c:v>-1085.8399304831069</c:v>
                </c:pt>
                <c:pt idx="8">
                  <c:v>-1094.8885965704662</c:v>
                </c:pt>
                <c:pt idx="9">
                  <c:v>-1104.0126682085531</c:v>
                </c:pt>
                <c:pt idx="10">
                  <c:v>-1113.2127737769579</c:v>
                </c:pt>
                <c:pt idx="11">
                  <c:v>-1122.4895468917659</c:v>
                </c:pt>
                <c:pt idx="12">
                  <c:v>-1131.8436264491972</c:v>
                </c:pt>
                <c:pt idx="13">
                  <c:v>-1141.2756566696073</c:v>
                </c:pt>
                <c:pt idx="14">
                  <c:v>-1150.786287141854</c:v>
                </c:pt>
                <c:pt idx="15">
                  <c:v>-1160.3761728680361</c:v>
                </c:pt>
                <c:pt idx="16">
                  <c:v>-1170.045974308603</c:v>
                </c:pt>
                <c:pt idx="17">
                  <c:v>-1179.7963574278415</c:v>
                </c:pt>
                <c:pt idx="18">
                  <c:v>-1189.6279937397403</c:v>
                </c:pt>
                <c:pt idx="19">
                  <c:v>-1199.5415603542378</c:v>
                </c:pt>
                <c:pt idx="20">
                  <c:v>-1209.5377400238567</c:v>
                </c:pt>
                <c:pt idx="21">
                  <c:v>-1219.6172211907221</c:v>
                </c:pt>
                <c:pt idx="22">
                  <c:v>-1229.7806980339781</c:v>
                </c:pt>
                <c:pt idx="23">
                  <c:v>-1240.0288705175947</c:v>
                </c:pt>
                <c:pt idx="24">
                  <c:v>-1250.3624444385748</c:v>
                </c:pt>
                <c:pt idx="25">
                  <c:v>-1260.7821314755627</c:v>
                </c:pt>
                <c:pt idx="26">
                  <c:v>-1271.2886492378591</c:v>
                </c:pt>
                <c:pt idx="27">
                  <c:v>-1281.8827213148413</c:v>
                </c:pt>
                <c:pt idx="28">
                  <c:v>-1292.5650773257983</c:v>
                </c:pt>
                <c:pt idx="29">
                  <c:v>-1303.3364529701798</c:v>
                </c:pt>
                <c:pt idx="30">
                  <c:v>-1314.1975900782647</c:v>
                </c:pt>
                <c:pt idx="31">
                  <c:v>-1325.1492366622501</c:v>
                </c:pt>
                <c:pt idx="32">
                  <c:v>-1336.1921469677688</c:v>
                </c:pt>
                <c:pt idx="33">
                  <c:v>-1347.3270815258338</c:v>
                </c:pt>
                <c:pt idx="34">
                  <c:v>-1358.5548072052154</c:v>
                </c:pt>
                <c:pt idx="35">
                  <c:v>-1369.8760972652592</c:v>
                </c:pt>
                <c:pt idx="36">
                  <c:v>-1381.2917314091362</c:v>
                </c:pt>
                <c:pt idx="37">
                  <c:v>-1392.8024958375458</c:v>
                </c:pt>
                <c:pt idx="38">
                  <c:v>-1404.4091833028588</c:v>
                </c:pt>
                <c:pt idx="39">
                  <c:v>-1416.1125931637157</c:v>
                </c:pt>
                <c:pt idx="40">
                  <c:v>-1427.9135314400803</c:v>
                </c:pt>
                <c:pt idx="41">
                  <c:v>-1439.8128108687474</c:v>
                </c:pt>
                <c:pt idx="42">
                  <c:v>-1451.8112509593202</c:v>
                </c:pt>
                <c:pt idx="43">
                  <c:v>-1463.9096780506482</c:v>
                </c:pt>
                <c:pt idx="44">
                  <c:v>-1476.1089253677369</c:v>
                </c:pt>
                <c:pt idx="45">
                  <c:v>-1488.4098330791344</c:v>
                </c:pt>
                <c:pt idx="46">
                  <c:v>-1500.813248354794</c:v>
                </c:pt>
                <c:pt idx="47">
                  <c:v>-1513.3200254244173</c:v>
                </c:pt>
                <c:pt idx="48">
                  <c:v>-1525.9310256362874</c:v>
                </c:pt>
                <c:pt idx="49">
                  <c:v>-1538.6471175165898</c:v>
                </c:pt>
                <c:pt idx="50">
                  <c:v>-1551.469176829228</c:v>
                </c:pt>
                <c:pt idx="51">
                  <c:v>-1564.3980866361385</c:v>
                </c:pt>
                <c:pt idx="52">
                  <c:v>-1577.4347373581058</c:v>
                </c:pt>
                <c:pt idx="53">
                  <c:v>-1590.5800268360904</c:v>
                </c:pt>
                <c:pt idx="54">
                  <c:v>-1603.8348603930576</c:v>
                </c:pt>
                <c:pt idx="55">
                  <c:v>-1617.2001508963333</c:v>
                </c:pt>
                <c:pt idx="56">
                  <c:v>-1630.6768188204692</c:v>
                </c:pt>
                <c:pt idx="57">
                  <c:v>-1644.2657923106399</c:v>
                </c:pt>
                <c:pt idx="58">
                  <c:v>-1657.9680072465621</c:v>
                </c:pt>
                <c:pt idx="59">
                  <c:v>-1671.7844073069498</c:v>
                </c:pt>
              </c:numCache>
            </c:numRef>
          </c:val>
        </c:ser>
        <c:ser>
          <c:idx val="1"/>
          <c:order val="1"/>
          <c:tx>
            <c:strRef>
              <c:f>principal!$E$26</c:f>
              <c:strCache>
                <c:ptCount val="1"/>
                <c:pt idx="0">
                  <c:v>Процент</c:v>
                </c:pt>
              </c:strCache>
            </c:strRef>
          </c:tx>
          <c:invertIfNegative val="0"/>
          <c:val>
            <c:numRef>
              <c:f>principal!$E$27:$E$86</c:f>
              <c:numCache>
                <c:formatCode>"р."#,##0.00_);[Red]\("р."#,##0.00\)</c:formatCode>
                <c:ptCount val="60"/>
                <c:pt idx="0">
                  <c:v>0</c:v>
                </c:pt>
                <c:pt idx="1">
                  <c:v>-817.90828999805956</c:v>
                </c:pt>
                <c:pt idx="2">
                  <c:v>-809.29914907943635</c:v>
                </c:pt>
                <c:pt idx="3">
                  <c:v>-800.61826531982445</c:v>
                </c:pt>
                <c:pt idx="4">
                  <c:v>-791.86504086221578</c:v>
                </c:pt>
                <c:pt idx="5">
                  <c:v>-783.03887286746055</c:v>
                </c:pt>
                <c:pt idx="6">
                  <c:v>-774.13915347274883</c:v>
                </c:pt>
                <c:pt idx="7">
                  <c:v>-765.16526974974806</c:v>
                </c:pt>
                <c:pt idx="8">
                  <c:v>-756.1166036623888</c:v>
                </c:pt>
                <c:pt idx="9">
                  <c:v>-746.99253202430157</c:v>
                </c:pt>
                <c:pt idx="10">
                  <c:v>-737.79242645589693</c:v>
                </c:pt>
                <c:pt idx="11">
                  <c:v>-728.51565334108898</c:v>
                </c:pt>
                <c:pt idx="12">
                  <c:v>-719.16157378365767</c:v>
                </c:pt>
                <c:pt idx="13">
                  <c:v>-709.72954356324772</c:v>
                </c:pt>
                <c:pt idx="14">
                  <c:v>-700.21891309100101</c:v>
                </c:pt>
                <c:pt idx="15">
                  <c:v>-690.62902736481874</c:v>
                </c:pt>
                <c:pt idx="16">
                  <c:v>-680.95922592425165</c:v>
                </c:pt>
                <c:pt idx="17">
                  <c:v>-671.20884280501355</c:v>
                </c:pt>
                <c:pt idx="18">
                  <c:v>-661.37720649311484</c:v>
                </c:pt>
                <c:pt idx="19">
                  <c:v>-651.46363987861696</c:v>
                </c:pt>
                <c:pt idx="20">
                  <c:v>-641.46746020899843</c:v>
                </c:pt>
                <c:pt idx="21">
                  <c:v>-631.38797904213277</c:v>
                </c:pt>
                <c:pt idx="22">
                  <c:v>-621.22450219887673</c:v>
                </c:pt>
                <c:pt idx="23">
                  <c:v>-610.97632971526036</c:v>
                </c:pt>
                <c:pt idx="24">
                  <c:v>-600.64275579428045</c:v>
                </c:pt>
                <c:pt idx="25">
                  <c:v>-590.22306875729225</c:v>
                </c:pt>
                <c:pt idx="26">
                  <c:v>-579.71655099499594</c:v>
                </c:pt>
                <c:pt idx="27">
                  <c:v>-569.12247891801371</c:v>
                </c:pt>
                <c:pt idx="28">
                  <c:v>-558.44012290705666</c:v>
                </c:pt>
                <c:pt idx="29">
                  <c:v>-547.6687472626752</c:v>
                </c:pt>
                <c:pt idx="30">
                  <c:v>-536.80761015459018</c:v>
                </c:pt>
                <c:pt idx="31">
                  <c:v>-525.85596357060467</c:v>
                </c:pt>
                <c:pt idx="32">
                  <c:v>-514.81305326508595</c:v>
                </c:pt>
                <c:pt idx="33">
                  <c:v>-503.67811870702121</c:v>
                </c:pt>
                <c:pt idx="34">
                  <c:v>-492.45039302763928</c:v>
                </c:pt>
                <c:pt idx="35">
                  <c:v>-481.12910296759583</c:v>
                </c:pt>
                <c:pt idx="36">
                  <c:v>-469.7134688237187</c:v>
                </c:pt>
                <c:pt idx="37">
                  <c:v>-458.20270439530924</c:v>
                </c:pt>
                <c:pt idx="38">
                  <c:v>-446.59601692999627</c:v>
                </c:pt>
                <c:pt idx="39">
                  <c:v>-434.89260706913916</c:v>
                </c:pt>
                <c:pt idx="40">
                  <c:v>-423.0916687927749</c:v>
                </c:pt>
                <c:pt idx="41">
                  <c:v>-411.1923893641075</c:v>
                </c:pt>
                <c:pt idx="42">
                  <c:v>-399.19394927353466</c:v>
                </c:pt>
                <c:pt idx="43">
                  <c:v>-387.09552218220693</c:v>
                </c:pt>
                <c:pt idx="44">
                  <c:v>-374.89627486511824</c:v>
                </c:pt>
                <c:pt idx="45">
                  <c:v>-362.59536715372047</c:v>
                </c:pt>
                <c:pt idx="46">
                  <c:v>-350.19195187806099</c:v>
                </c:pt>
                <c:pt idx="47">
                  <c:v>-337.68517480843769</c:v>
                </c:pt>
                <c:pt idx="48">
                  <c:v>-325.0741745965675</c:v>
                </c:pt>
                <c:pt idx="49">
                  <c:v>-312.35808271626507</c:v>
                </c:pt>
                <c:pt idx="50">
                  <c:v>-299.53602340362693</c:v>
                </c:pt>
                <c:pt idx="51">
                  <c:v>-286.60711359671666</c:v>
                </c:pt>
                <c:pt idx="52">
                  <c:v>-273.57046287474884</c:v>
                </c:pt>
                <c:pt idx="53">
                  <c:v>-260.42517339676459</c:v>
                </c:pt>
                <c:pt idx="54">
                  <c:v>-247.17033983979721</c:v>
                </c:pt>
                <c:pt idx="55">
                  <c:v>-233.80504933652173</c:v>
                </c:pt>
                <c:pt idx="56">
                  <c:v>-220.3283814123856</c:v>
                </c:pt>
                <c:pt idx="57">
                  <c:v>-206.73940792221504</c:v>
                </c:pt>
                <c:pt idx="58">
                  <c:v>-193.03719298629304</c:v>
                </c:pt>
                <c:pt idx="59">
                  <c:v>-179.22079292590504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9088256"/>
        <c:axId val="118412800"/>
      </c:barChart>
      <c:catAx>
        <c:axId val="99088256"/>
        <c:scaling>
          <c:orientation val="minMax"/>
        </c:scaling>
        <c:delete val="0"/>
        <c:axPos val="b"/>
        <c:majorTickMark val="out"/>
        <c:minorTickMark val="none"/>
        <c:tickLblPos val="high"/>
        <c:crossAx val="118412800"/>
        <c:crossesAt val="0"/>
        <c:auto val="1"/>
        <c:lblAlgn val="ctr"/>
        <c:lblOffset val="100"/>
        <c:noMultiLvlLbl val="0"/>
      </c:catAx>
      <c:valAx>
        <c:axId val="118412800"/>
        <c:scaling>
          <c:orientation val="minMax"/>
        </c:scaling>
        <c:delete val="0"/>
        <c:axPos val="l"/>
        <c:majorGridlines/>
        <c:numFmt formatCode="&quot;р.&quot;#,##0.00_);[Red]\(&quot;р.&quot;#,##0.00\)" sourceLinked="1"/>
        <c:majorTickMark val="out"/>
        <c:minorTickMark val="none"/>
        <c:tickLblPos val="nextTo"/>
        <c:crossAx val="99088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1040468</xdr:colOff>
      <xdr:row>0</xdr:row>
      <xdr:rowOff>145675</xdr:rowOff>
    </xdr:from>
    <xdr:to>
      <xdr:col>17</xdr:col>
      <xdr:colOff>246530</xdr:colOff>
      <xdr:row>21</xdr:row>
      <xdr:rowOff>145676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1" displayName="Табл1" ref="A26:K87" totalsRowCount="1" headerRowDxfId="13">
  <autoFilter ref="A26:K86"/>
  <tableColumns count="11">
    <tableColumn id="1" name="Период (№месяца)" totalsRowLabel="Итог" dataDxfId="12">
      <calculatedColumnFormula>IF(ROW()-ROW(Табл1[[#Headers],[Период (№месяца)]])&gt;$B$11,0,ROW()-ROW(Табл1[[#Headers],[Период (№месяца)]]))</calculatedColumnFormula>
    </tableColumn>
    <tableColumn id="2" name="Баланс на начало периода" dataDxfId="11">
      <calculatedColumnFormula>$B$5+SUM($D$26:D26)</calculatedColumnFormula>
    </tableColumn>
    <tableColumn id="4" name="Платеж" totalsRowFunction="sum" totalsRowDxfId="10">
      <calculatedColumnFormula>PMT($B$10,$B$11,$B$5,$B$6,$B$12)</calculatedColumnFormula>
    </tableColumn>
    <tableColumn id="6" name="Тело кредита" totalsRowFunction="sum" totalsRowDxfId="9">
      <calculatedColumnFormula>PPMT($B$10,A27,$B$11,$B$5,$B$6,$B$12)</calculatedColumnFormula>
    </tableColumn>
    <tableColumn id="3" name="Процент" totalsRowFunction="sum" totalsRowDxfId="8">
      <calculatedColumnFormula>IPMT($B$10,A27,$B$11,$B$5,$B$6,$B$12)</calculatedColumnFormula>
    </tableColumn>
    <tableColumn id="8" name="Всего погашено тело кредита" dataDxfId="7" totalsRowDxfId="6">
      <calculatedColumnFormula>SUM($D$27:D27)</calculatedColumnFormula>
    </tableColumn>
    <tableColumn id="5" name="Баланс на конец периода" dataDxfId="5" totalsRowDxfId="4">
      <calculatedColumnFormula>Табл1[[#This Row],[Баланс на начало периода]]+Табл1[[#This Row],[Тело кредита]]</calculatedColumnFormula>
    </tableColumn>
    <tableColumn id="9" name="Баланс на начало периода2" dataDxfId="3">
      <calculatedColumnFormula>PV($B$10,$B$11-Табл1[[#This Row],[Период (№месяца)]]+1,$B$13,$B$6,$B$12)/IF(Табл1[[#This Row],[Период (№месяца)]]=1,1,1+$B$12*$B$10)</calculatedColumnFormula>
    </tableColumn>
    <tableColumn id="7" name="Баланс на конец периода2" dataDxfId="2">
      <calculatedColumnFormula>-FV($B$10,Табл1[[#This Row],[Период (№месяца)]],$B$13,$B$5,$B$12)/(1+$B$12*$B$10)</calculatedColumnFormula>
    </tableColumn>
    <tableColumn id="10" name="Баланс на начало периода3" dataDxfId="1">
      <calculatedColumnFormula>-(($B$13*(1+$B$10*$B$12)/$B$10)*(1-(1+$B$10)^(Табл1[[#This Row],[Период (№месяца)]]-1-$B$11))+$B$6*((1+$B$10)^(Табл1[[#This Row],[Период (№месяца)]]-1-$B$11)))/IF(Табл1[[#This Row],[Период (№месяца)]]=1,1,1+$B$12*$B$10)</calculatedColumnFormula>
    </tableColumn>
    <tableColumn id="11" name="Баланс на конец периода3" dataDxfId="0">
      <calculatedColumnFormula>-($B$13*(1+$B$10*$B$12)*(1-(1+$B$10)^Табл1[[#This Row],[Период (№месяца)]])/$B$10-$B$5*((1+$B$10)^Табл1[[#This Row],[Период (№месяца)]]))/(1+$B$12*$B$10)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annuitet-raschyot-v-ms-excel-pogashenie-osnovnoy-summy-dolg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87"/>
  <sheetViews>
    <sheetView tabSelected="1" zoomScale="85" zoomScaleNormal="85" workbookViewId="0">
      <selection activeCell="E14" sqref="E14"/>
    </sheetView>
  </sheetViews>
  <sheetFormatPr defaultRowHeight="15" x14ac:dyDescent="0.25"/>
  <cols>
    <col min="1" max="1" width="23.140625" customWidth="1"/>
    <col min="2" max="2" width="17.85546875" customWidth="1"/>
    <col min="3" max="3" width="13.42578125" customWidth="1"/>
    <col min="4" max="4" width="14.5703125" customWidth="1"/>
    <col min="5" max="5" width="13.42578125" bestFit="1" customWidth="1"/>
    <col min="6" max="6" width="16.85546875" customWidth="1"/>
    <col min="7" max="7" width="19.140625" customWidth="1"/>
    <col min="8" max="8" width="15.5703125" customWidth="1"/>
    <col min="9" max="9" width="18" customWidth="1"/>
    <col min="10" max="10" width="12.5703125" bestFit="1" customWidth="1"/>
    <col min="11" max="11" width="13.85546875" customWidth="1"/>
    <col min="12" max="12" width="18.140625" customWidth="1"/>
    <col min="13" max="13" width="15.28515625" customWidth="1"/>
    <col min="14" max="14" width="9.42578125" customWidth="1"/>
    <col min="15" max="15" width="14.140625" customWidth="1"/>
    <col min="16" max="16" width="13.140625" customWidth="1"/>
    <col min="17" max="17" width="11.85546875" customWidth="1"/>
    <col min="18" max="18" width="13.42578125" customWidth="1"/>
    <col min="19" max="19" width="13.85546875" customWidth="1"/>
    <col min="20" max="20" width="13" customWidth="1"/>
    <col min="21" max="22" width="12.5703125" bestFit="1" customWidth="1"/>
    <col min="270" max="270" width="10" customWidth="1"/>
    <col min="351" max="351" width="8.5703125" customWidth="1"/>
  </cols>
  <sheetData>
    <row r="1" spans="1:8" ht="26.25" x14ac:dyDescent="0.25">
      <c r="A1" s="55" t="s">
        <v>73</v>
      </c>
      <c r="B1" s="55"/>
      <c r="C1" s="55"/>
      <c r="D1" s="55"/>
      <c r="E1" s="55"/>
      <c r="F1" s="55"/>
      <c r="G1" s="55"/>
    </row>
    <row r="2" spans="1:8" ht="15.75" x14ac:dyDescent="0.25">
      <c r="A2" s="58" t="s">
        <v>74</v>
      </c>
      <c r="B2" s="56"/>
      <c r="C2" s="56"/>
      <c r="D2" s="56"/>
      <c r="E2" s="56"/>
      <c r="F2" s="56"/>
      <c r="G2" s="56"/>
    </row>
    <row r="3" spans="1:8" ht="18.75" x14ac:dyDescent="0.25">
      <c r="A3" s="57" t="s">
        <v>75</v>
      </c>
      <c r="B3" s="57"/>
      <c r="C3" s="57"/>
      <c r="D3" s="57"/>
      <c r="E3" s="57"/>
      <c r="F3" s="57"/>
      <c r="G3" s="57"/>
    </row>
    <row r="4" spans="1:8" x14ac:dyDescent="0.25">
      <c r="A4" s="9" t="s">
        <v>21</v>
      </c>
      <c r="B4" s="9" t="s">
        <v>22</v>
      </c>
      <c r="C4" s="9" t="s">
        <v>42</v>
      </c>
      <c r="D4" s="9"/>
      <c r="E4" s="9" t="s">
        <v>23</v>
      </c>
      <c r="F4" s="7"/>
    </row>
    <row r="5" spans="1:8" x14ac:dyDescent="0.25">
      <c r="A5" s="5" t="s">
        <v>37</v>
      </c>
      <c r="B5" s="13">
        <v>100000</v>
      </c>
      <c r="C5" s="5" t="s">
        <v>11</v>
      </c>
      <c r="D5" s="5" t="s">
        <v>10</v>
      </c>
      <c r="E5" s="5" t="s">
        <v>9</v>
      </c>
      <c r="F5" s="7"/>
    </row>
    <row r="6" spans="1:8" x14ac:dyDescent="0.25">
      <c r="A6" s="5" t="s">
        <v>25</v>
      </c>
      <c r="B6" s="13">
        <v>-20000</v>
      </c>
      <c r="C6" s="5" t="s">
        <v>8</v>
      </c>
      <c r="D6" s="5" t="s">
        <v>7</v>
      </c>
      <c r="E6" s="5" t="s">
        <v>6</v>
      </c>
      <c r="F6" s="7"/>
    </row>
    <row r="7" spans="1:8" x14ac:dyDescent="0.25">
      <c r="A7" s="5" t="s">
        <v>36</v>
      </c>
      <c r="B7" s="19">
        <v>5</v>
      </c>
      <c r="C7" s="5"/>
      <c r="D7" s="5"/>
      <c r="E7" s="5"/>
      <c r="F7" s="7"/>
      <c r="H7" s="4"/>
    </row>
    <row r="8" spans="1:8" x14ac:dyDescent="0.25">
      <c r="A8" s="5" t="s">
        <v>19</v>
      </c>
      <c r="B8" s="6">
        <v>0.1</v>
      </c>
      <c r="C8" s="5"/>
      <c r="D8" s="5"/>
      <c r="E8" s="5"/>
      <c r="F8" s="7"/>
    </row>
    <row r="9" spans="1:8" x14ac:dyDescent="0.25">
      <c r="A9" s="5" t="s">
        <v>35</v>
      </c>
      <c r="B9" s="18">
        <v>12</v>
      </c>
      <c r="C9" s="5"/>
      <c r="D9" s="5"/>
      <c r="E9" s="5"/>
      <c r="F9" s="7"/>
    </row>
    <row r="10" spans="1:8" x14ac:dyDescent="0.25">
      <c r="A10" s="5" t="s">
        <v>33</v>
      </c>
      <c r="B10" s="17">
        <f>B8/B9</f>
        <v>8.3333333333333332E-3</v>
      </c>
      <c r="C10" s="5" t="s">
        <v>18</v>
      </c>
      <c r="D10" s="5" t="s">
        <v>17</v>
      </c>
      <c r="E10" s="5" t="s">
        <v>16</v>
      </c>
      <c r="F10" s="7"/>
      <c r="H10" s="4"/>
    </row>
    <row r="11" spans="1:8" x14ac:dyDescent="0.25">
      <c r="A11" s="5" t="s">
        <v>15</v>
      </c>
      <c r="B11" s="16">
        <f>B7*B9</f>
        <v>60</v>
      </c>
      <c r="C11" s="5" t="s">
        <v>14</v>
      </c>
      <c r="D11" s="5" t="s">
        <v>13</v>
      </c>
      <c r="E11" s="5" t="s">
        <v>12</v>
      </c>
      <c r="F11" s="7"/>
      <c r="H11" s="4"/>
    </row>
    <row r="12" spans="1:8" x14ac:dyDescent="0.25">
      <c r="A12" s="5" t="s">
        <v>20</v>
      </c>
      <c r="B12" s="8">
        <v>1</v>
      </c>
      <c r="C12" s="5" t="s">
        <v>5</v>
      </c>
      <c r="D12" s="5" t="s">
        <v>4</v>
      </c>
      <c r="E12" s="5" t="s">
        <v>34</v>
      </c>
      <c r="F12" s="7"/>
      <c r="H12" s="4"/>
    </row>
    <row r="13" spans="1:8" x14ac:dyDescent="0.25">
      <c r="A13" s="26" t="s">
        <v>24</v>
      </c>
      <c r="B13" s="11">
        <f>PMT(B10,B11,B5,B6,B12)</f>
        <v>-1851.005200232855</v>
      </c>
      <c r="C13" s="25" t="s">
        <v>43</v>
      </c>
      <c r="D13" s="25" t="s">
        <v>44</v>
      </c>
      <c r="E13" s="5"/>
      <c r="F13" s="7"/>
    </row>
    <row r="14" spans="1:8" x14ac:dyDescent="0.25">
      <c r="A14" s="12"/>
      <c r="B14" s="10"/>
    </row>
    <row r="15" spans="1:8" x14ac:dyDescent="0.25">
      <c r="A15" s="28" t="s">
        <v>45</v>
      </c>
      <c r="B15" s="5">
        <v>1</v>
      </c>
      <c r="C15" t="s">
        <v>69</v>
      </c>
    </row>
    <row r="16" spans="1:8" x14ac:dyDescent="0.25">
      <c r="A16" s="28" t="s">
        <v>46</v>
      </c>
      <c r="B16" s="5">
        <v>2</v>
      </c>
      <c r="C16" t="s">
        <v>69</v>
      </c>
      <c r="D16" s="12"/>
    </row>
    <row r="17" spans="1:19" x14ac:dyDescent="0.25">
      <c r="A17" s="26" t="s">
        <v>47</v>
      </c>
      <c r="B17" s="27">
        <f>CUMPRINC(B10,B11,B5+B6,B15,B16,B12)+(B15=1)*B12*B6*B10/(1+B10)</f>
        <v>-2884.1021104676502</v>
      </c>
      <c r="C17" s="29" t="s">
        <v>48</v>
      </c>
      <c r="D17" s="12"/>
      <c r="G17" s="12"/>
      <c r="H17" s="24"/>
      <c r="I17" s="24"/>
    </row>
    <row r="18" spans="1:19" x14ac:dyDescent="0.25">
      <c r="A18" s="26" t="s">
        <v>47</v>
      </c>
      <c r="B18" s="27">
        <f ca="1">SUMPRODUCT(PPMT($B$10,ROW(INDIRECT(B15&amp;":"&amp;B16)),$B$11,$B$5,$B$6,$B$12))</f>
        <v>-2884.1021104676502</v>
      </c>
      <c r="C18" s="29" t="s">
        <v>49</v>
      </c>
      <c r="D18" s="12"/>
      <c r="E18" s="21"/>
      <c r="G18" s="12"/>
      <c r="H18" s="24"/>
      <c r="I18" s="24"/>
    </row>
    <row r="19" spans="1:19" x14ac:dyDescent="0.25">
      <c r="A19" s="26" t="s">
        <v>47</v>
      </c>
      <c r="B19" s="27">
        <f>(-(B13*(1+B10*B12)/B10)*(1-(1+B10)^(B16-B11))-B6*((1+B10)^(B16-B11)))/(1+$B$12*$B$10)
+((B13*(1+B10*B12)/B10)*(1-(1+B10)^(B15-1-B11))+B6*((1+B10)^(B15-1-B11)))/IF(B15=1,1,1+$B$12*$B$10)</f>
        <v>-2884.102110467662</v>
      </c>
      <c r="C19" s="29" t="s">
        <v>50</v>
      </c>
      <c r="D19" s="12"/>
      <c r="E19" s="21"/>
      <c r="F19" s="21"/>
      <c r="G19" s="12"/>
      <c r="H19" s="24"/>
      <c r="I19" s="24"/>
    </row>
    <row r="20" spans="1:19" x14ac:dyDescent="0.25">
      <c r="A20" s="26" t="s">
        <v>47</v>
      </c>
      <c r="B20" s="27">
        <f>PV($B$10,$B$11-B16,$B$13,$B$6,$B$12)/(1+$B$12*$B$10)-PV($B$10,$B$11-B15+1,$B$13,$B$6,$B$12)/IF(B15=1,1,1+$B$12*$B$10)</f>
        <v>-2884.1021104676765</v>
      </c>
      <c r="C20" s="29" t="s">
        <v>52</v>
      </c>
      <c r="F20" s="7"/>
      <c r="G20" s="12"/>
      <c r="H20" s="24"/>
      <c r="I20" s="24"/>
    </row>
    <row r="21" spans="1:19" x14ac:dyDescent="0.25">
      <c r="A21" s="26" t="s">
        <v>47</v>
      </c>
      <c r="B21" s="27">
        <f>-(B13*(1+B10*B12)*(1-(1+B10)^B16)/B10-B5*((1+B10)^B16))/(1+$B$12*$B$10)
+(B13*(1+B10*B12)*(1-(1+B10)^(B15-1))/B10-B5*((1+B10)^(B15-1)))/IF(B15=1,1,1+$B$12*$B$10)</f>
        <v>-2884.1021104676474</v>
      </c>
      <c r="C21" s="29" t="s">
        <v>51</v>
      </c>
      <c r="D21" s="12"/>
      <c r="G21" s="12"/>
      <c r="H21" s="24"/>
      <c r="I21" s="24"/>
    </row>
    <row r="22" spans="1:19" x14ac:dyDescent="0.25">
      <c r="A22" s="26" t="s">
        <v>47</v>
      </c>
      <c r="B22" s="27">
        <f>-FV($B$10,B16,$B$13,$B$5,$B$12)/(1+$B$12*$B$10)+FV($B$10,B15-1,$B$13,$B$5,$B$12)/IF(B15=1,1,1+$B$12*$B$10)</f>
        <v>-2884.1021104676474</v>
      </c>
      <c r="C22" s="29" t="s">
        <v>53</v>
      </c>
      <c r="D22" s="12"/>
      <c r="F22" s="4"/>
      <c r="G22" s="12"/>
      <c r="H22" s="24"/>
      <c r="I22" s="24"/>
    </row>
    <row r="23" spans="1:19" x14ac:dyDescent="0.25">
      <c r="A23" s="1"/>
      <c r="B23" s="24"/>
      <c r="C23" s="12"/>
      <c r="D23" s="12"/>
      <c r="E23" s="33"/>
      <c r="F23" s="21"/>
      <c r="G23" s="12"/>
      <c r="H23" s="24"/>
      <c r="I23" s="24"/>
    </row>
    <row r="24" spans="1:19" x14ac:dyDescent="0.25">
      <c r="A24" s="1" t="s">
        <v>32</v>
      </c>
      <c r="C24" s="12"/>
      <c r="D24" s="12"/>
      <c r="M24" s="1" t="s">
        <v>58</v>
      </c>
    </row>
    <row r="25" spans="1:19" hidden="1" x14ac:dyDescent="0.25">
      <c r="A25" s="1"/>
      <c r="I25" s="22"/>
    </row>
    <row r="26" spans="1:19" ht="45" x14ac:dyDescent="0.25">
      <c r="A26" s="14" t="s">
        <v>26</v>
      </c>
      <c r="B26" s="14" t="s">
        <v>28</v>
      </c>
      <c r="C26" s="15" t="s">
        <v>27</v>
      </c>
      <c r="D26" s="15" t="s">
        <v>29</v>
      </c>
      <c r="E26" s="15" t="s">
        <v>30</v>
      </c>
      <c r="F26" s="14" t="s">
        <v>41</v>
      </c>
      <c r="G26" s="14" t="s">
        <v>39</v>
      </c>
      <c r="H26" s="14" t="s">
        <v>38</v>
      </c>
      <c r="I26" s="14" t="s">
        <v>40</v>
      </c>
      <c r="J26" s="14" t="s">
        <v>54</v>
      </c>
      <c r="K26" s="14" t="s">
        <v>55</v>
      </c>
      <c r="M26" s="9" t="s">
        <v>60</v>
      </c>
      <c r="N26" s="9" t="s">
        <v>56</v>
      </c>
      <c r="O26" s="9" t="s">
        <v>57</v>
      </c>
      <c r="P26" s="9" t="s">
        <v>59</v>
      </c>
    </row>
    <row r="27" spans="1:19" x14ac:dyDescent="0.25">
      <c r="A27" s="3">
        <f>IF(ROW()-ROW(Табл1[[#Headers],[Период (№месяца)]])&gt;$B$11,0,ROW()-ROW(Табл1[[#Headers],[Период (№месяца)]]))</f>
        <v>1</v>
      </c>
      <c r="B27" s="4">
        <f>$B$5+SUM($D$26:D26)</f>
        <v>100000</v>
      </c>
      <c r="C27" s="4">
        <f t="shared" ref="C27:C58" si="0">PMT($B$10,$B$11,$B$5,$B$6,$B$12)</f>
        <v>-1851.005200232855</v>
      </c>
      <c r="D27" s="4">
        <f t="shared" ref="D27:D58" si="1">PPMT($B$10,A27,$B$11,$B$5,$B$6,$B$12)</f>
        <v>-1851.005200232855</v>
      </c>
      <c r="E27" s="4">
        <f t="shared" ref="E27:E58" si="2">IPMT($B$10,A27,$B$11,$B$5,$B$6,$B$12)</f>
        <v>0</v>
      </c>
      <c r="F27" s="4">
        <f>SUM($D$27:D27)</f>
        <v>-1851.005200232855</v>
      </c>
      <c r="G27" s="4">
        <f>Табл1[[#This Row],[Баланс на начало периода]]+Табл1[[#This Row],[Тело кредита]]</f>
        <v>98148.994799767141</v>
      </c>
      <c r="H27" s="20">
        <f>PV($B$10,$B$11-Табл1[[#This Row],[Период (№месяца)]]+1,$B$13,$B$6,$B$12)/IF(Табл1[[#This Row],[Период (№месяца)]]=1,1,1+$B$12*$B$10)</f>
        <v>99999.999999999738</v>
      </c>
      <c r="I27" s="4">
        <f>-FV($B$10,Табл1[[#This Row],[Период (№месяца)]],$B$13,$B$5,$B$12)/(1+$B$12*$B$10)</f>
        <v>98148.994799767155</v>
      </c>
      <c r="J2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99999.999999999738</v>
      </c>
      <c r="K27" s="4">
        <f>-($B$13*(1+$B$10*$B$12)*(1-(1+$B$10)^Табл1[[#This Row],[Период (№месяца)]])/$B$10-$B$5*((1+$B$10)^Табл1[[#This Row],[Период (№месяца)]]))/(1+$B$12*$B$10)</f>
        <v>98148.994799767155</v>
      </c>
      <c r="M27" s="5">
        <v>1</v>
      </c>
      <c r="N27" s="30">
        <f t="shared" ref="N27:N35" si="3">IF(AND(M27=1,$B$12),$B$13,(1+$B$10)^(M27-1-$B$11)*($B$13-$B$6*$B$10/(1+$B$12*$B$10)))</f>
        <v>-1851.005200232855</v>
      </c>
      <c r="O27" s="30">
        <f t="shared" ref="O27:O35" si="4">IF(AND(M27=1,$B$12),$B$13,(1+$B$10)^(M27-1)*($B$13+$B$5*$B$10/(1+$B$12*$B$10)))</f>
        <v>-1851.005200232855</v>
      </c>
      <c r="P27" s="30">
        <f>Табл1[[#This Row],[Тело кредита]]-O27</f>
        <v>0</v>
      </c>
      <c r="S27" s="21"/>
    </row>
    <row r="28" spans="1:19" x14ac:dyDescent="0.25">
      <c r="A28" s="3">
        <f>IF(ROW()-ROW(Табл1[[#Headers],[Период (№месяца)]])&gt;$B$11,0,ROW()-ROW(Табл1[[#Headers],[Период (№месяца)]]))</f>
        <v>2</v>
      </c>
      <c r="B28" s="4">
        <f>$B$5+SUM($D$26:D27)</f>
        <v>98148.994799767141</v>
      </c>
      <c r="C28" s="4">
        <f t="shared" si="0"/>
        <v>-1851.005200232855</v>
      </c>
      <c r="D28" s="4">
        <f t="shared" si="1"/>
        <v>-1033.0969102347954</v>
      </c>
      <c r="E28" s="4">
        <f t="shared" si="2"/>
        <v>-817.90828999805956</v>
      </c>
      <c r="F28" s="4">
        <f>SUM($D$27:D28)</f>
        <v>-2884.1021104676502</v>
      </c>
      <c r="G28" s="4">
        <f>Табл1[[#This Row],[Баланс на начало периода]]+Табл1[[#This Row],[Тело кредита]]</f>
        <v>97115.897889532353</v>
      </c>
      <c r="H28" s="20">
        <f>PV($B$10,$B$11-Табл1[[#This Row],[Период (№месяца)]]+1,$B$13,$B$6,$B$12)/IF(Табл1[[#This Row],[Период (№месяца)]]=1,1,1+$B$12*$B$10)</f>
        <v>98148.994799766879</v>
      </c>
      <c r="I28" s="4">
        <f>-FV($B$10,Табл1[[#This Row],[Период (№месяца)]],$B$13,$B$5,$B$12)/(1+$B$12*$B$10)</f>
        <v>97115.897889532353</v>
      </c>
      <c r="J2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98148.994799766879</v>
      </c>
      <c r="K28" s="4">
        <f>-($B$13*(1+$B$10*$B$12)*(1-(1+$B$10)^Табл1[[#This Row],[Период (№месяца)]])/$B$10-$B$5*((1+$B$10)^Табл1[[#This Row],[Период (№месяца)]]))/(1+$B$12*$B$10)</f>
        <v>97115.897889532353</v>
      </c>
      <c r="M28" s="5">
        <v>2</v>
      </c>
      <c r="N28" s="30">
        <f t="shared" si="3"/>
        <v>-1033.0969102347976</v>
      </c>
      <c r="O28" s="30">
        <f t="shared" si="4"/>
        <v>-1033.0969102347954</v>
      </c>
      <c r="P28" s="30">
        <f>Табл1[[#This Row],[Тело кредита]]-O28</f>
        <v>0</v>
      </c>
      <c r="S28" s="21"/>
    </row>
    <row r="29" spans="1:19" x14ac:dyDescent="0.25">
      <c r="A29" s="3">
        <f>IF(ROW()-ROW(Табл1[[#Headers],[Период (№месяца)]])&gt;$B$11,0,ROW()-ROW(Табл1[[#Headers],[Период (№месяца)]]))</f>
        <v>3</v>
      </c>
      <c r="B29" s="4">
        <f>$B$5+SUM($D$26:D28)</f>
        <v>97115.897889532353</v>
      </c>
      <c r="C29" s="4">
        <f t="shared" si="0"/>
        <v>-1851.005200232855</v>
      </c>
      <c r="D29" s="4">
        <f t="shared" si="1"/>
        <v>-1041.7060511534187</v>
      </c>
      <c r="E29" s="4">
        <f t="shared" si="2"/>
        <v>-809.29914907943635</v>
      </c>
      <c r="F29" s="4">
        <f>SUM($D$27:D29)</f>
        <v>-3925.8081616210688</v>
      </c>
      <c r="G29" s="4">
        <f>Табл1[[#This Row],[Баланс на начало периода]]+Табл1[[#This Row],[Тело кредита]]</f>
        <v>96074.191838378931</v>
      </c>
      <c r="H29" s="20">
        <f>PV($B$10,$B$11-Табл1[[#This Row],[Период (№месяца)]]+1,$B$13,$B$6,$B$12)/IF(Табл1[[#This Row],[Период (№месяца)]]=1,1,1+$B$12*$B$10)</f>
        <v>97115.897889532062</v>
      </c>
      <c r="I29" s="4">
        <f>-FV($B$10,Табл1[[#This Row],[Период (№месяца)]],$B$13,$B$5,$B$12)/(1+$B$12*$B$10)</f>
        <v>96074.19183837896</v>
      </c>
      <c r="J2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97115.897889532076</v>
      </c>
      <c r="K29" s="4">
        <f>-($B$13*(1+$B$10*$B$12)*(1-(1+$B$10)^Табл1[[#This Row],[Период (№месяца)]])/$B$10-$B$5*((1+$B$10)^Табл1[[#This Row],[Период (№месяца)]]))/(1+$B$12*$B$10)</f>
        <v>96074.19183837896</v>
      </c>
      <c r="M29" s="5">
        <v>3</v>
      </c>
      <c r="N29" s="30">
        <f t="shared" si="3"/>
        <v>-1041.7060511534212</v>
      </c>
      <c r="O29" s="30">
        <f t="shared" si="4"/>
        <v>-1041.7060511534187</v>
      </c>
      <c r="P29" s="30">
        <f>Табл1[[#This Row],[Тело кредита]]-O29</f>
        <v>0</v>
      </c>
      <c r="S29" s="21"/>
    </row>
    <row r="30" spans="1:19" x14ac:dyDescent="0.25">
      <c r="A30" s="3">
        <f>IF(ROW()-ROW(Табл1[[#Headers],[Период (№месяца)]])&gt;$B$11,0,ROW()-ROW(Табл1[[#Headers],[Период (№месяца)]]))</f>
        <v>4</v>
      </c>
      <c r="B30" s="4">
        <f>$B$5+SUM($D$26:D29)</f>
        <v>96074.191838378931</v>
      </c>
      <c r="C30" s="4">
        <f t="shared" si="0"/>
        <v>-1851.005200232855</v>
      </c>
      <c r="D30" s="4">
        <f t="shared" si="1"/>
        <v>-1050.3869349130305</v>
      </c>
      <c r="E30" s="4">
        <f t="shared" si="2"/>
        <v>-800.61826531982445</v>
      </c>
      <c r="F30" s="4">
        <f>SUM($D$27:D30)</f>
        <v>-4976.1950965340993</v>
      </c>
      <c r="G30" s="4">
        <f>Табл1[[#This Row],[Баланс на начало периода]]+Табл1[[#This Row],[Тело кредита]]</f>
        <v>95023.804903465905</v>
      </c>
      <c r="H30" s="20">
        <f>PV($B$10,$B$11-Табл1[[#This Row],[Период (№месяца)]]+1,$B$13,$B$6,$B$12)/IF(Табл1[[#This Row],[Период (№месяца)]]=1,1,1+$B$12*$B$10)</f>
        <v>96074.191838378654</v>
      </c>
      <c r="I30" s="4">
        <f>-FV($B$10,Табл1[[#This Row],[Период (№месяца)]],$B$13,$B$5,$B$12)/(1+$B$12*$B$10)</f>
        <v>95023.80490346592</v>
      </c>
      <c r="J3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96074.191838378654</v>
      </c>
      <c r="K30" s="4">
        <f>-($B$13*(1+$B$10*$B$12)*(1-(1+$B$10)^Табл1[[#This Row],[Период (№месяца)]])/$B$10-$B$5*((1+$B$10)^Табл1[[#This Row],[Период (№месяца)]]))/(1+$B$12*$B$10)</f>
        <v>95023.80490346592</v>
      </c>
      <c r="M30" s="5">
        <v>4</v>
      </c>
      <c r="N30" s="30">
        <f t="shared" si="3"/>
        <v>-1050.386934913033</v>
      </c>
      <c r="O30" s="30">
        <f t="shared" si="4"/>
        <v>-1050.3869349130302</v>
      </c>
      <c r="P30" s="30">
        <f>Табл1[[#This Row],[Тело кредита]]-O30</f>
        <v>0</v>
      </c>
      <c r="S30" s="21"/>
    </row>
    <row r="31" spans="1:19" x14ac:dyDescent="0.25">
      <c r="A31" s="3">
        <f>IF(ROW()-ROW(Табл1[[#Headers],[Период (№месяца)]])&gt;$B$11,0,ROW()-ROW(Табл1[[#Headers],[Период (№месяца)]]))</f>
        <v>5</v>
      </c>
      <c r="B31" s="4">
        <f>$B$5+SUM($D$26:D30)</f>
        <v>95023.804903465905</v>
      </c>
      <c r="C31" s="4">
        <f t="shared" si="0"/>
        <v>-1851.005200232855</v>
      </c>
      <c r="D31" s="4">
        <f t="shared" si="1"/>
        <v>-1059.1401593706391</v>
      </c>
      <c r="E31" s="4">
        <f t="shared" si="2"/>
        <v>-791.86504086221578</v>
      </c>
      <c r="F31" s="4">
        <f>SUM($D$27:D31)</f>
        <v>-6035.335255904738</v>
      </c>
      <c r="G31" s="4">
        <f>Табл1[[#This Row],[Баланс на начало периода]]+Табл1[[#This Row],[Тело кредита]]</f>
        <v>93964.664744095266</v>
      </c>
      <c r="H31" s="20">
        <f>PV($B$10,$B$11-Табл1[[#This Row],[Период (№месяца)]]+1,$B$13,$B$6,$B$12)/IF(Табл1[[#This Row],[Период (№месяца)]]=1,1,1+$B$12*$B$10)</f>
        <v>95023.804903465658</v>
      </c>
      <c r="I31" s="4">
        <f>-FV($B$10,Табл1[[#This Row],[Период (№месяца)]],$B$13,$B$5,$B$12)/(1+$B$12*$B$10)</f>
        <v>93964.664744095309</v>
      </c>
      <c r="J3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95023.804903465672</v>
      </c>
      <c r="K31" s="4">
        <f>-($B$13*(1+$B$10*$B$12)*(1-(1+$B$10)^Табл1[[#This Row],[Период (№месяца)]])/$B$10-$B$5*((1+$B$10)^Табл1[[#This Row],[Период (№месяца)]]))/(1+$B$12*$B$10)</f>
        <v>93964.664744095309</v>
      </c>
      <c r="M31" s="5">
        <v>5</v>
      </c>
      <c r="N31" s="30">
        <f t="shared" si="3"/>
        <v>-1059.1401593706412</v>
      </c>
      <c r="O31" s="30">
        <f t="shared" si="4"/>
        <v>-1059.1401593706389</v>
      </c>
      <c r="P31" s="30">
        <f>Табл1[[#This Row],[Тело кредита]]-O31</f>
        <v>0</v>
      </c>
      <c r="S31" s="21"/>
    </row>
    <row r="32" spans="1:19" x14ac:dyDescent="0.25">
      <c r="A32" s="3">
        <f>IF(ROW()-ROW(Табл1[[#Headers],[Период (№месяца)]])&gt;$B$11,0,ROW()-ROW(Табл1[[#Headers],[Период (№месяца)]]))</f>
        <v>6</v>
      </c>
      <c r="B32" s="4">
        <f>$B$5+SUM($D$26:D31)</f>
        <v>93964.664744095266</v>
      </c>
      <c r="C32" s="4">
        <f t="shared" si="0"/>
        <v>-1851.005200232855</v>
      </c>
      <c r="D32" s="4">
        <f t="shared" si="1"/>
        <v>-1067.9663273653944</v>
      </c>
      <c r="E32" s="4">
        <f t="shared" si="2"/>
        <v>-783.03887286746055</v>
      </c>
      <c r="F32" s="4">
        <f>SUM($D$27:D32)</f>
        <v>-7103.3015832701321</v>
      </c>
      <c r="G32" s="4">
        <f>Табл1[[#This Row],[Баланс на начало периода]]+Табл1[[#This Row],[Тело кредита]]</f>
        <v>92896.698416729865</v>
      </c>
      <c r="H32" s="20">
        <f>PV($B$10,$B$11-Табл1[[#This Row],[Период (№месяца)]]+1,$B$13,$B$6,$B$12)/IF(Табл1[[#This Row],[Период (№месяца)]]=1,1,1+$B$12*$B$10)</f>
        <v>93964.664744094989</v>
      </c>
      <c r="I32" s="4">
        <f>-FV($B$10,Табл1[[#This Row],[Период (№месяца)]],$B$13,$B$5,$B$12)/(1+$B$12*$B$10)</f>
        <v>92896.698416729894</v>
      </c>
      <c r="J3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93964.664744095018</v>
      </c>
      <c r="K32" s="4">
        <f>-($B$13*(1+$B$10*$B$12)*(1-(1+$B$10)^Табл1[[#This Row],[Период (№месяца)]])/$B$10-$B$5*((1+$B$10)^Табл1[[#This Row],[Период (№месяца)]]))/(1+$B$12*$B$10)</f>
        <v>92896.698416729894</v>
      </c>
      <c r="M32" s="5">
        <v>6</v>
      </c>
      <c r="N32" s="30">
        <f t="shared" si="3"/>
        <v>-1067.9663273653966</v>
      </c>
      <c r="O32" s="30">
        <f t="shared" si="4"/>
        <v>-1067.9663273653941</v>
      </c>
      <c r="P32" s="30">
        <f>Табл1[[#This Row],[Тело кредита]]-O32</f>
        <v>0</v>
      </c>
      <c r="S32" s="21"/>
    </row>
    <row r="33" spans="1:25" x14ac:dyDescent="0.25">
      <c r="A33" s="3">
        <f>IF(ROW()-ROW(Табл1[[#Headers],[Период (№месяца)]])&gt;$B$11,0,ROW()-ROW(Табл1[[#Headers],[Период (№месяца)]]))</f>
        <v>7</v>
      </c>
      <c r="B33" s="4">
        <f>$B$5+SUM($D$26:D32)</f>
        <v>92896.698416729865</v>
      </c>
      <c r="C33" s="4">
        <f t="shared" si="0"/>
        <v>-1851.005200232855</v>
      </c>
      <c r="D33" s="4">
        <f t="shared" si="1"/>
        <v>-1076.866046760106</v>
      </c>
      <c r="E33" s="4">
        <f t="shared" si="2"/>
        <v>-774.13915347274883</v>
      </c>
      <c r="F33" s="4">
        <f>SUM($D$27:D33)</f>
        <v>-8180.1676300302379</v>
      </c>
      <c r="G33" s="4">
        <f>Табл1[[#This Row],[Баланс на начало периода]]+Табл1[[#This Row],[Тело кредита]]</f>
        <v>91819.832369969765</v>
      </c>
      <c r="H33" s="20">
        <f>PV($B$10,$B$11-Табл1[[#This Row],[Период (№месяца)]]+1,$B$13,$B$6,$B$12)/IF(Табл1[[#This Row],[Период (№месяца)]]=1,1,1+$B$12*$B$10)</f>
        <v>92896.698416729632</v>
      </c>
      <c r="I33" s="4">
        <f>-FV($B$10,Табл1[[#This Row],[Период (№месяца)]],$B$13,$B$5,$B$12)/(1+$B$12*$B$10)</f>
        <v>91819.832369969808</v>
      </c>
      <c r="J3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92896.698416729647</v>
      </c>
      <c r="K33" s="4">
        <f>-($B$13*(1+$B$10*$B$12)*(1-(1+$B$10)^Табл1[[#This Row],[Период (№месяца)]])/$B$10-$B$5*((1+$B$10)^Табл1[[#This Row],[Период (№месяца)]]))/(1+$B$12*$B$10)</f>
        <v>91819.832369969808</v>
      </c>
      <c r="M33" s="5">
        <v>7</v>
      </c>
      <c r="N33" s="30">
        <f t="shared" si="3"/>
        <v>-1076.866046760108</v>
      </c>
      <c r="O33" s="30">
        <f t="shared" si="4"/>
        <v>-1076.8660467601057</v>
      </c>
      <c r="P33" s="30">
        <f>Табл1[[#This Row],[Тело кредита]]-O33</f>
        <v>0</v>
      </c>
      <c r="S33" s="21"/>
    </row>
    <row r="34" spans="1:25" x14ac:dyDescent="0.25">
      <c r="A34" s="3">
        <f>IF(ROW()-ROW(Табл1[[#Headers],[Период (№месяца)]])&gt;$B$11,0,ROW()-ROW(Табл1[[#Headers],[Период (№месяца)]]))</f>
        <v>8</v>
      </c>
      <c r="B34" s="4">
        <f>$B$5+SUM($D$26:D33)</f>
        <v>91819.832369969765</v>
      </c>
      <c r="C34" s="4">
        <f t="shared" si="0"/>
        <v>-1851.005200232855</v>
      </c>
      <c r="D34" s="4">
        <f t="shared" si="1"/>
        <v>-1085.8399304831069</v>
      </c>
      <c r="E34" s="4">
        <f t="shared" si="2"/>
        <v>-765.16526974974806</v>
      </c>
      <c r="F34" s="4">
        <f>SUM($D$27:D34)</f>
        <v>-9266.0075605133443</v>
      </c>
      <c r="G34" s="4">
        <f>Табл1[[#This Row],[Баланс на начало периода]]+Табл1[[#This Row],[Тело кредита]]</f>
        <v>90733.992439486654</v>
      </c>
      <c r="H34" s="20">
        <f>PV($B$10,$B$11-Табл1[[#This Row],[Период (№месяца)]]+1,$B$13,$B$6,$B$12)/IF(Табл1[[#This Row],[Период (№месяца)]]=1,1,1+$B$12*$B$10)</f>
        <v>91819.832369969503</v>
      </c>
      <c r="I34" s="4">
        <f>-FV($B$10,Табл1[[#This Row],[Период (№месяца)]],$B$13,$B$5,$B$12)/(1+$B$12*$B$10)</f>
        <v>90733.992439486698</v>
      </c>
      <c r="J3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91819.832369969503</v>
      </c>
      <c r="K34" s="4">
        <f>-($B$13*(1+$B$10*$B$12)*(1-(1+$B$10)^Табл1[[#This Row],[Период (№месяца)]])/$B$10-$B$5*((1+$B$10)^Табл1[[#This Row],[Период (№месяца)]]))/(1+$B$12*$B$10)</f>
        <v>90733.992439486698</v>
      </c>
      <c r="M34" s="5">
        <v>8</v>
      </c>
      <c r="N34" s="30">
        <f t="shared" si="3"/>
        <v>-1085.8399304831091</v>
      </c>
      <c r="O34" s="30">
        <f t="shared" si="4"/>
        <v>-1085.8399304831064</v>
      </c>
      <c r="P34" s="30">
        <f>Табл1[[#This Row],[Тело кредита]]-O34</f>
        <v>0</v>
      </c>
      <c r="S34" s="21"/>
    </row>
    <row r="35" spans="1:25" x14ac:dyDescent="0.25">
      <c r="A35" s="3">
        <f>IF(ROW()-ROW(Табл1[[#Headers],[Период (№месяца)]])&gt;$B$11,0,ROW()-ROW(Табл1[[#Headers],[Период (№месяца)]]))</f>
        <v>9</v>
      </c>
      <c r="B35" s="4">
        <f>$B$5+SUM($D$26:D34)</f>
        <v>90733.992439486654</v>
      </c>
      <c r="C35" s="4">
        <f t="shared" si="0"/>
        <v>-1851.005200232855</v>
      </c>
      <c r="D35" s="4">
        <f t="shared" si="1"/>
        <v>-1094.8885965704662</v>
      </c>
      <c r="E35" s="4">
        <f t="shared" si="2"/>
        <v>-756.1166036623888</v>
      </c>
      <c r="F35" s="4">
        <f>SUM($D$27:D35)</f>
        <v>-10360.896157083811</v>
      </c>
      <c r="G35" s="4">
        <f>Табл1[[#This Row],[Баланс на начало периода]]+Табл1[[#This Row],[Тело кредита]]</f>
        <v>89639.103842916185</v>
      </c>
      <c r="H35" s="20">
        <f>PV($B$10,$B$11-Табл1[[#This Row],[Период (№месяца)]]+1,$B$13,$B$6,$B$12)/IF(Табл1[[#This Row],[Период (№месяца)]]=1,1,1+$B$12*$B$10)</f>
        <v>90733.992439486407</v>
      </c>
      <c r="I35" s="4">
        <f>-FV($B$10,Табл1[[#This Row],[Период (№месяца)]],$B$13,$B$5,$B$12)/(1+$B$12*$B$10)</f>
        <v>89639.103842916244</v>
      </c>
      <c r="J3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90733.992439486407</v>
      </c>
      <c r="K35" s="4">
        <f>-($B$13*(1+$B$10*$B$12)*(1-(1+$B$10)^Табл1[[#This Row],[Период (№месяца)]])/$B$10-$B$5*((1+$B$10)^Табл1[[#This Row],[Период (№месяца)]]))/(1+$B$12*$B$10)</f>
        <v>89639.103842916229</v>
      </c>
      <c r="M35" s="5">
        <v>9</v>
      </c>
      <c r="N35" s="30">
        <f t="shared" si="3"/>
        <v>-1094.8885965704683</v>
      </c>
      <c r="O35" s="30">
        <f t="shared" si="4"/>
        <v>-1094.8885965704658</v>
      </c>
      <c r="P35" s="30">
        <f>Табл1[[#This Row],[Тело кредита]]-O35</f>
        <v>0</v>
      </c>
      <c r="S35" s="21"/>
    </row>
    <row r="36" spans="1:25" x14ac:dyDescent="0.25">
      <c r="A36" s="3">
        <f>IF(ROW()-ROW(Табл1[[#Headers],[Период (№месяца)]])&gt;$B$11,0,ROW()-ROW(Табл1[[#Headers],[Период (№месяца)]]))</f>
        <v>10</v>
      </c>
      <c r="B36" s="4">
        <f>$B$5+SUM($D$26:D35)</f>
        <v>89639.103842916185</v>
      </c>
      <c r="C36" s="4">
        <f t="shared" si="0"/>
        <v>-1851.005200232855</v>
      </c>
      <c r="D36" s="4">
        <f t="shared" si="1"/>
        <v>-1104.0126682085531</v>
      </c>
      <c r="E36" s="4">
        <f t="shared" si="2"/>
        <v>-746.99253202430157</v>
      </c>
      <c r="F36" s="4">
        <f>SUM($D$27:D36)</f>
        <v>-11464.908825292365</v>
      </c>
      <c r="G36" s="4">
        <f>Табл1[[#This Row],[Баланс на начало периода]]+Табл1[[#This Row],[Тело кредита]]</f>
        <v>88535.091174707632</v>
      </c>
      <c r="H36" s="20">
        <f>PV($B$10,$B$11-Табл1[[#This Row],[Период (№месяца)]]+1,$B$13,$B$6,$B$12)/IF(Табл1[[#This Row],[Период (№месяца)]]=1,1,1+$B$12*$B$10)</f>
        <v>89639.103842915953</v>
      </c>
      <c r="I36" s="4">
        <f>-FV($B$10,Табл1[[#This Row],[Период (№месяца)]],$B$13,$B$5,$B$12)/(1+$B$12*$B$10)</f>
        <v>88535.091174707675</v>
      </c>
      <c r="J3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89639.103842915967</v>
      </c>
      <c r="K36" s="4">
        <f>-($B$13*(1+$B$10*$B$12)*(1-(1+$B$10)^Табл1[[#This Row],[Период (№месяца)]])/$B$10-$B$5*((1+$B$10)^Табл1[[#This Row],[Период (№месяца)]]))/(1+$B$12*$B$10)</f>
        <v>88535.091174707675</v>
      </c>
      <c r="M36" s="5">
        <v>10</v>
      </c>
      <c r="N36" s="30">
        <f t="shared" ref="N36:N86" si="5">IF(AND(M36=1,$B$12),$B$13,(1+$B$10)^(M36-1-$B$11)*($B$13-$B$6*$B$10/(1+$B$12*$B$10)))</f>
        <v>-1104.0126682085554</v>
      </c>
      <c r="O36" s="30">
        <f t="shared" ref="O36:O86" si="6">IF(AND(M36=1,$B$12),$B$13,(1+$B$10)^(M36-1)*($B$13+$B$5*$B$10/(1+$B$12*$B$10)))</f>
        <v>-1104.0126682085529</v>
      </c>
      <c r="P36" s="30">
        <f>Табл1[[#This Row],[Тело кредита]]-O36</f>
        <v>0</v>
      </c>
    </row>
    <row r="37" spans="1:25" x14ac:dyDescent="0.25">
      <c r="A37" s="3">
        <f>IF(ROW()-ROW(Табл1[[#Headers],[Период (№месяца)]])&gt;$B$11,0,ROW()-ROW(Табл1[[#Headers],[Период (№месяца)]]))</f>
        <v>11</v>
      </c>
      <c r="B37" s="4">
        <f>$B$5+SUM($D$26:D36)</f>
        <v>88535.091174707632</v>
      </c>
      <c r="C37" s="4">
        <f t="shared" si="0"/>
        <v>-1851.005200232855</v>
      </c>
      <c r="D37" s="4">
        <f t="shared" si="1"/>
        <v>-1113.2127737769579</v>
      </c>
      <c r="E37" s="4">
        <f t="shared" si="2"/>
        <v>-737.79242645589693</v>
      </c>
      <c r="F37" s="4">
        <f>SUM($D$27:D37)</f>
        <v>-12578.121599069324</v>
      </c>
      <c r="G37" s="4">
        <f>Табл1[[#This Row],[Баланс на начало периода]]+Табл1[[#This Row],[Тело кредита]]</f>
        <v>87421.878400930669</v>
      </c>
      <c r="H37" s="20">
        <f>PV($B$10,$B$11-Табл1[[#This Row],[Период (№месяца)]]+1,$B$13,$B$6,$B$12)/IF(Табл1[[#This Row],[Период (№месяца)]]=1,1,1+$B$12*$B$10)</f>
        <v>88535.091174707413</v>
      </c>
      <c r="I37" s="4">
        <f>-FV($B$10,Табл1[[#This Row],[Период (№месяца)]],$B$13,$B$5,$B$12)/(1+$B$12*$B$10)</f>
        <v>87421.878400930742</v>
      </c>
      <c r="J3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88535.091174707413</v>
      </c>
      <c r="K37" s="4">
        <f>-($B$13*(1+$B$10*$B$12)*(1-(1+$B$10)^Табл1[[#This Row],[Период (№месяца)]])/$B$10-$B$5*((1+$B$10)^Табл1[[#This Row],[Период (№месяца)]]))/(1+$B$12*$B$10)</f>
        <v>87421.878400930742</v>
      </c>
      <c r="M37" s="5">
        <v>11</v>
      </c>
      <c r="N37" s="30">
        <f t="shared" si="5"/>
        <v>-1113.2127737769599</v>
      </c>
      <c r="O37" s="30">
        <f t="shared" si="6"/>
        <v>-1113.2127737769576</v>
      </c>
      <c r="P37" s="30">
        <f>Табл1[[#This Row],[Тело кредита]]-O37</f>
        <v>0</v>
      </c>
    </row>
    <row r="38" spans="1:25" x14ac:dyDescent="0.25">
      <c r="A38" s="3">
        <f>IF(ROW()-ROW(Табл1[[#Headers],[Период (№месяца)]])&gt;$B$11,0,ROW()-ROW(Табл1[[#Headers],[Период (№месяца)]]))</f>
        <v>12</v>
      </c>
      <c r="B38" s="4">
        <f>$B$5+SUM($D$26:D37)</f>
        <v>87421.878400930669</v>
      </c>
      <c r="C38" s="4">
        <f t="shared" si="0"/>
        <v>-1851.005200232855</v>
      </c>
      <c r="D38" s="4">
        <f t="shared" si="1"/>
        <v>-1122.4895468917659</v>
      </c>
      <c r="E38" s="4">
        <f t="shared" si="2"/>
        <v>-728.51565334108898</v>
      </c>
      <c r="F38" s="4">
        <f>SUM($D$27:D38)</f>
        <v>-13700.611145961089</v>
      </c>
      <c r="G38" s="4">
        <f>Табл1[[#This Row],[Баланс на начало периода]]+Табл1[[#This Row],[Тело кредита]]</f>
        <v>86299.388854038902</v>
      </c>
      <c r="H38" s="20">
        <f>PV($B$10,$B$11-Табл1[[#This Row],[Период (№месяца)]]+1,$B$13,$B$6,$B$12)/IF(Табл1[[#This Row],[Период (№месяца)]]=1,1,1+$B$12*$B$10)</f>
        <v>87421.878400930436</v>
      </c>
      <c r="I38" s="4">
        <f>-FV($B$10,Табл1[[#This Row],[Период (№месяца)]],$B$13,$B$5,$B$12)/(1+$B$12*$B$10)</f>
        <v>86299.388854038974</v>
      </c>
      <c r="J3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87421.878400930451</v>
      </c>
      <c r="K38" s="4">
        <f>-($B$13*(1+$B$10*$B$12)*(1-(1+$B$10)^Табл1[[#This Row],[Период (№месяца)]])/$B$10-$B$5*((1+$B$10)^Табл1[[#This Row],[Период (№месяца)]]))/(1+$B$12*$B$10)</f>
        <v>86299.388854038974</v>
      </c>
      <c r="M38" s="5">
        <v>12</v>
      </c>
      <c r="N38" s="30">
        <f t="shared" si="5"/>
        <v>-1122.489546891768</v>
      </c>
      <c r="O38" s="30">
        <f t="shared" si="6"/>
        <v>-1122.4895468917655</v>
      </c>
      <c r="P38" s="30">
        <f>Табл1[[#This Row],[Тело кредита]]-O38</f>
        <v>0</v>
      </c>
    </row>
    <row r="39" spans="1:25" x14ac:dyDescent="0.25">
      <c r="A39" s="3">
        <f>IF(ROW()-ROW(Табл1[[#Headers],[Период (№месяца)]])&gt;$B$11,0,ROW()-ROW(Табл1[[#Headers],[Период (№месяца)]]))</f>
        <v>13</v>
      </c>
      <c r="B39" s="4">
        <f>$B$5+SUM($D$26:D38)</f>
        <v>86299.388854038916</v>
      </c>
      <c r="C39" s="4">
        <f t="shared" si="0"/>
        <v>-1851.005200232855</v>
      </c>
      <c r="D39" s="4">
        <f t="shared" si="1"/>
        <v>-1131.8436264491972</v>
      </c>
      <c r="E39" s="4">
        <f t="shared" si="2"/>
        <v>-719.16157378365767</v>
      </c>
      <c r="F39" s="4">
        <f>SUM($D$27:D39)</f>
        <v>-14832.454772410287</v>
      </c>
      <c r="G39" s="4">
        <f>Табл1[[#This Row],[Баланс на начало периода]]+Табл1[[#This Row],[Тело кредита]]</f>
        <v>85167.545227589726</v>
      </c>
      <c r="H39" s="20">
        <f>PV($B$10,$B$11-Табл1[[#This Row],[Период (№месяца)]]+1,$B$13,$B$6,$B$12)/IF(Табл1[[#This Row],[Период (№месяца)]]=1,1,1+$B$12*$B$10)</f>
        <v>86299.388854038669</v>
      </c>
      <c r="I39" s="4">
        <f>-FV($B$10,Табл1[[#This Row],[Период (№месяца)]],$B$13,$B$5,$B$12)/(1+$B$12*$B$10)</f>
        <v>85167.545227589799</v>
      </c>
      <c r="J3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86299.388854038669</v>
      </c>
      <c r="K39" s="4">
        <f>-($B$13*(1+$B$10*$B$12)*(1-(1+$B$10)^Табл1[[#This Row],[Период (№месяца)]])/$B$10-$B$5*((1+$B$10)^Табл1[[#This Row],[Период (№месяца)]]))/(1+$B$12*$B$10)</f>
        <v>85167.545227589799</v>
      </c>
      <c r="M39" s="5">
        <v>13</v>
      </c>
      <c r="N39" s="30">
        <f t="shared" si="5"/>
        <v>-1131.8436264491995</v>
      </c>
      <c r="O39" s="30">
        <f t="shared" si="6"/>
        <v>-1131.843626449197</v>
      </c>
      <c r="P39" s="30">
        <f>Табл1[[#This Row],[Тело кредита]]-O39</f>
        <v>0</v>
      </c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3">
        <f>IF(ROW()-ROW(Табл1[[#Headers],[Период (№месяца)]])&gt;$B$11,0,ROW()-ROW(Табл1[[#Headers],[Период (№месяца)]]))</f>
        <v>14</v>
      </c>
      <c r="B40" s="4">
        <f>$B$5+SUM($D$26:D39)</f>
        <v>85167.545227589711</v>
      </c>
      <c r="C40" s="4">
        <f t="shared" si="0"/>
        <v>-1851.005200232855</v>
      </c>
      <c r="D40" s="4">
        <f t="shared" si="1"/>
        <v>-1141.2756566696073</v>
      </c>
      <c r="E40" s="4">
        <f t="shared" si="2"/>
        <v>-709.72954356324772</v>
      </c>
      <c r="F40" s="4">
        <f>SUM($D$27:D40)</f>
        <v>-15973.730429079895</v>
      </c>
      <c r="G40" s="4">
        <f>Табл1[[#This Row],[Баланс на начало периода]]+Табл1[[#This Row],[Тело кредита]]</f>
        <v>84026.269570920107</v>
      </c>
      <c r="H40" s="20">
        <f>PV($B$10,$B$11-Табл1[[#This Row],[Период (№месяца)]]+1,$B$13,$B$6,$B$12)/IF(Табл1[[#This Row],[Период (№месяца)]]=1,1,1+$B$12*$B$10)</f>
        <v>85167.545227589479</v>
      </c>
      <c r="I40" s="4">
        <f>-FV($B$10,Табл1[[#This Row],[Период (№месяца)]],$B$13,$B$5,$B$12)/(1+$B$12*$B$10)</f>
        <v>84026.26957092018</v>
      </c>
      <c r="J4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85167.545227589479</v>
      </c>
      <c r="K40" s="4">
        <f>-($B$13*(1+$B$10*$B$12)*(1-(1+$B$10)^Табл1[[#This Row],[Период (№месяца)]])/$B$10-$B$5*((1+$B$10)^Табл1[[#This Row],[Период (№месяца)]]))/(1+$B$12*$B$10)</f>
        <v>84026.26957092018</v>
      </c>
      <c r="M40" s="5">
        <v>14</v>
      </c>
      <c r="N40" s="30">
        <f t="shared" si="5"/>
        <v>-1141.2756566696094</v>
      </c>
      <c r="O40" s="30">
        <f t="shared" si="6"/>
        <v>-1141.2756566696066</v>
      </c>
      <c r="P40" s="30">
        <f>Табл1[[#This Row],[Тело кредита]]-O40</f>
        <v>0</v>
      </c>
    </row>
    <row r="41" spans="1:25" x14ac:dyDescent="0.25">
      <c r="A41" s="3">
        <f>IF(ROW()-ROW(Табл1[[#Headers],[Период (№месяца)]])&gt;$B$11,0,ROW()-ROW(Табл1[[#Headers],[Период (№месяца)]]))</f>
        <v>15</v>
      </c>
      <c r="B41" s="4">
        <f>$B$5+SUM($D$26:D40)</f>
        <v>84026.269570920107</v>
      </c>
      <c r="C41" s="4">
        <f t="shared" si="0"/>
        <v>-1851.005200232855</v>
      </c>
      <c r="D41" s="4">
        <f t="shared" si="1"/>
        <v>-1150.786287141854</v>
      </c>
      <c r="E41" s="4">
        <f t="shared" si="2"/>
        <v>-700.21891309100101</v>
      </c>
      <c r="F41" s="4">
        <f>SUM($D$27:D41)</f>
        <v>-17124.516716221748</v>
      </c>
      <c r="G41" s="4">
        <f>Табл1[[#This Row],[Баланс на начало периода]]+Табл1[[#This Row],[Тело кредита]]</f>
        <v>82875.48328377826</v>
      </c>
      <c r="H41" s="20">
        <f>PV($B$10,$B$11-Табл1[[#This Row],[Период (№месяца)]]+1,$B$13,$B$6,$B$12)/IF(Табл1[[#This Row],[Период (№месяца)]]=1,1,1+$B$12*$B$10)</f>
        <v>84026.269570919889</v>
      </c>
      <c r="I41" s="4">
        <f>-FV($B$10,Табл1[[#This Row],[Период (№месяца)]],$B$13,$B$5,$B$12)/(1+$B$12*$B$10)</f>
        <v>82875.483283778332</v>
      </c>
      <c r="J4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84026.269570919889</v>
      </c>
      <c r="K41" s="4">
        <f>-($B$13*(1+$B$10*$B$12)*(1-(1+$B$10)^Табл1[[#This Row],[Период (№месяца)]])/$B$10-$B$5*((1+$B$10)^Табл1[[#This Row],[Период (№месяца)]]))/(1+$B$12*$B$10)</f>
        <v>82875.483283778332</v>
      </c>
      <c r="M41" s="5">
        <v>15</v>
      </c>
      <c r="N41" s="30">
        <f t="shared" si="5"/>
        <v>-1150.7862871418561</v>
      </c>
      <c r="O41" s="30">
        <f t="shared" si="6"/>
        <v>-1150.7862871418533</v>
      </c>
      <c r="P41" s="30">
        <f>Табл1[[#This Row],[Тело кредита]]-O41</f>
        <v>0</v>
      </c>
    </row>
    <row r="42" spans="1:25" x14ac:dyDescent="0.25">
      <c r="A42" s="3">
        <f>IF(ROW()-ROW(Табл1[[#Headers],[Период (№месяца)]])&gt;$B$11,0,ROW()-ROW(Табл1[[#Headers],[Период (№месяца)]]))</f>
        <v>16</v>
      </c>
      <c r="B42" s="4">
        <f>$B$5+SUM($D$26:D41)</f>
        <v>82875.483283778245</v>
      </c>
      <c r="C42" s="4">
        <f t="shared" si="0"/>
        <v>-1851.005200232855</v>
      </c>
      <c r="D42" s="4">
        <f t="shared" si="1"/>
        <v>-1160.3761728680361</v>
      </c>
      <c r="E42" s="4">
        <f t="shared" si="2"/>
        <v>-690.62902736481874</v>
      </c>
      <c r="F42" s="4">
        <f>SUM($D$27:D42)</f>
        <v>-18284.892889089784</v>
      </c>
      <c r="G42" s="4">
        <f>Табл1[[#This Row],[Баланс на начало периода]]+Табл1[[#This Row],[Тело кредита]]</f>
        <v>81715.107110910205</v>
      </c>
      <c r="H42" s="20">
        <f>PV($B$10,$B$11-Табл1[[#This Row],[Период (№месяца)]]+1,$B$13,$B$6,$B$12)/IF(Табл1[[#This Row],[Период (№месяца)]]=1,1,1+$B$12*$B$10)</f>
        <v>82875.483283777998</v>
      </c>
      <c r="I42" s="4">
        <f>-FV($B$10,Табл1[[#This Row],[Период (№месяца)]],$B$13,$B$5,$B$12)/(1+$B$12*$B$10)</f>
        <v>81715.107110910307</v>
      </c>
      <c r="J4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82875.483283777998</v>
      </c>
      <c r="K42" s="4">
        <f>-($B$13*(1+$B$10*$B$12)*(1-(1+$B$10)^Табл1[[#This Row],[Период (№месяца)]])/$B$10-$B$5*((1+$B$10)^Табл1[[#This Row],[Период (№месяца)]]))/(1+$B$12*$B$10)</f>
        <v>81715.107110910307</v>
      </c>
      <c r="M42" s="5">
        <v>16</v>
      </c>
      <c r="N42" s="30">
        <f t="shared" si="5"/>
        <v>-1160.3761728680383</v>
      </c>
      <c r="O42" s="30">
        <f t="shared" si="6"/>
        <v>-1160.3761728680354</v>
      </c>
      <c r="P42" s="30">
        <f>Табл1[[#This Row],[Тело кредита]]-O42</f>
        <v>0</v>
      </c>
    </row>
    <row r="43" spans="1:25" x14ac:dyDescent="0.25">
      <c r="A43" s="3">
        <f>IF(ROW()-ROW(Табл1[[#Headers],[Период (№месяца)]])&gt;$B$11,0,ROW()-ROW(Табл1[[#Headers],[Период (№месяца)]]))</f>
        <v>17</v>
      </c>
      <c r="B43" s="4">
        <f>$B$5+SUM($D$26:D42)</f>
        <v>81715.107110910219</v>
      </c>
      <c r="C43" s="4">
        <f t="shared" si="0"/>
        <v>-1851.005200232855</v>
      </c>
      <c r="D43" s="4">
        <f t="shared" si="1"/>
        <v>-1170.045974308603</v>
      </c>
      <c r="E43" s="4">
        <f t="shared" si="2"/>
        <v>-680.95922592425165</v>
      </c>
      <c r="F43" s="4">
        <f>SUM($D$27:D43)</f>
        <v>-19454.938863398387</v>
      </c>
      <c r="G43" s="4">
        <f>Табл1[[#This Row],[Баланс на начало периода]]+Табл1[[#This Row],[Тело кредита]]</f>
        <v>80545.061136601609</v>
      </c>
      <c r="H43" s="20">
        <f>PV($B$10,$B$11-Табл1[[#This Row],[Период (№месяца)]]+1,$B$13,$B$6,$B$12)/IF(Табл1[[#This Row],[Период (№месяца)]]=1,1,1+$B$12*$B$10)</f>
        <v>81715.107110910001</v>
      </c>
      <c r="I43" s="4">
        <f>-FV($B$10,Табл1[[#This Row],[Период (№месяца)]],$B$13,$B$5,$B$12)/(1+$B$12*$B$10)</f>
        <v>80545.061136601726</v>
      </c>
      <c r="J4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81715.107110910001</v>
      </c>
      <c r="K43" s="4">
        <f>-($B$13*(1+$B$10*$B$12)*(1-(1+$B$10)^Табл1[[#This Row],[Период (№месяца)]])/$B$10-$B$5*((1+$B$10)^Табл1[[#This Row],[Период (№месяца)]]))/(1+$B$12*$B$10)</f>
        <v>80545.061136601726</v>
      </c>
      <c r="M43" s="5">
        <v>17</v>
      </c>
      <c r="N43" s="30">
        <f t="shared" si="5"/>
        <v>-1170.0459743086049</v>
      </c>
      <c r="O43" s="30">
        <f t="shared" si="6"/>
        <v>-1170.0459743086024</v>
      </c>
      <c r="P43" s="30">
        <f>Табл1[[#This Row],[Тело кредита]]-O43</f>
        <v>0</v>
      </c>
    </row>
    <row r="44" spans="1:25" x14ac:dyDescent="0.25">
      <c r="A44" s="3">
        <f>IF(ROW()-ROW(Табл1[[#Headers],[Период (№месяца)]])&gt;$B$11,0,ROW()-ROW(Табл1[[#Headers],[Период (№месяца)]]))</f>
        <v>18</v>
      </c>
      <c r="B44" s="4">
        <f>$B$5+SUM($D$26:D43)</f>
        <v>80545.061136601609</v>
      </c>
      <c r="C44" s="4">
        <f t="shared" si="0"/>
        <v>-1851.005200232855</v>
      </c>
      <c r="D44" s="4">
        <f t="shared" si="1"/>
        <v>-1179.7963574278415</v>
      </c>
      <c r="E44" s="4">
        <f t="shared" si="2"/>
        <v>-671.20884280501355</v>
      </c>
      <c r="F44" s="4">
        <f>SUM($D$27:D44)</f>
        <v>-20634.735220826227</v>
      </c>
      <c r="G44" s="4">
        <f>Табл1[[#This Row],[Баланс на начало периода]]+Табл1[[#This Row],[Тело кредита]]</f>
        <v>79365.264779173769</v>
      </c>
      <c r="H44" s="20">
        <f>PV($B$10,$B$11-Табл1[[#This Row],[Период (№месяца)]]+1,$B$13,$B$6,$B$12)/IF(Табл1[[#This Row],[Период (№месяца)]]=1,1,1+$B$12*$B$10)</f>
        <v>80545.061136601376</v>
      </c>
      <c r="I44" s="4">
        <f>-FV($B$10,Табл1[[#This Row],[Период (№месяца)]],$B$13,$B$5,$B$12)/(1+$B$12*$B$10)</f>
        <v>79365.264779173856</v>
      </c>
      <c r="J4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80545.061136601391</v>
      </c>
      <c r="K44" s="4">
        <f>-($B$13*(1+$B$10*$B$12)*(1-(1+$B$10)^Табл1[[#This Row],[Период (№месяца)]])/$B$10-$B$5*((1+$B$10)^Табл1[[#This Row],[Период (№месяца)]]))/(1+$B$12*$B$10)</f>
        <v>79365.264779173856</v>
      </c>
      <c r="M44" s="5">
        <v>18</v>
      </c>
      <c r="N44" s="30">
        <f t="shared" si="5"/>
        <v>-1179.7963574278433</v>
      </c>
      <c r="O44" s="30">
        <f t="shared" si="6"/>
        <v>-1179.7963574278406</v>
      </c>
      <c r="P44" s="30">
        <f>Табл1[[#This Row],[Тело кредита]]-O44</f>
        <v>0</v>
      </c>
    </row>
    <row r="45" spans="1:25" x14ac:dyDescent="0.25">
      <c r="A45" s="3">
        <f>IF(ROW()-ROW(Табл1[[#Headers],[Период (№месяца)]])&gt;$B$11,0,ROW()-ROW(Табл1[[#Headers],[Период (№месяца)]]))</f>
        <v>19</v>
      </c>
      <c r="B45" s="4">
        <f>$B$5+SUM($D$26:D44)</f>
        <v>79365.264779173769</v>
      </c>
      <c r="C45" s="4">
        <f t="shared" si="0"/>
        <v>-1851.005200232855</v>
      </c>
      <c r="D45" s="4">
        <f t="shared" si="1"/>
        <v>-1189.6279937397403</v>
      </c>
      <c r="E45" s="4">
        <f t="shared" si="2"/>
        <v>-661.37720649311484</v>
      </c>
      <c r="F45" s="4">
        <f>SUM($D$27:D45)</f>
        <v>-21824.363214565969</v>
      </c>
      <c r="G45" s="4">
        <f>Табл1[[#This Row],[Баланс на начало периода]]+Табл1[[#This Row],[Тело кредита]]</f>
        <v>78175.636785434035</v>
      </c>
      <c r="H45" s="20">
        <f>PV($B$10,$B$11-Табл1[[#This Row],[Период (№месяца)]]+1,$B$13,$B$6,$B$12)/IF(Табл1[[#This Row],[Период (№месяца)]]=1,1,1+$B$12*$B$10)</f>
        <v>79365.264779173565</v>
      </c>
      <c r="I45" s="4">
        <f>-FV($B$10,Табл1[[#This Row],[Период (№месяца)]],$B$13,$B$5,$B$12)/(1+$B$12*$B$10)</f>
        <v>78175.636785434122</v>
      </c>
      <c r="J4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79365.264779173565</v>
      </c>
      <c r="K45" s="4">
        <f>-($B$13*(1+$B$10*$B$12)*(1-(1+$B$10)^Табл1[[#This Row],[Период (№месяца)]])/$B$10-$B$5*((1+$B$10)^Табл1[[#This Row],[Период (№месяца)]]))/(1+$B$12*$B$10)</f>
        <v>78175.636785434122</v>
      </c>
      <c r="M45" s="5">
        <v>19</v>
      </c>
      <c r="N45" s="30">
        <f t="shared" si="5"/>
        <v>-1189.6279937397419</v>
      </c>
      <c r="O45" s="30">
        <f t="shared" si="6"/>
        <v>-1189.6279937397394</v>
      </c>
      <c r="P45" s="30">
        <f>Табл1[[#This Row],[Тело кредита]]-O45</f>
        <v>0</v>
      </c>
    </row>
    <row r="46" spans="1:25" x14ac:dyDescent="0.25">
      <c r="A46" s="3">
        <f>IF(ROW()-ROW(Табл1[[#Headers],[Период (№месяца)]])&gt;$B$11,0,ROW()-ROW(Табл1[[#Headers],[Период (№месяца)]]))</f>
        <v>20</v>
      </c>
      <c r="B46" s="4">
        <f>$B$5+SUM($D$26:D45)</f>
        <v>78175.636785434035</v>
      </c>
      <c r="C46" s="4">
        <f t="shared" si="0"/>
        <v>-1851.005200232855</v>
      </c>
      <c r="D46" s="4">
        <f t="shared" si="1"/>
        <v>-1199.5415603542378</v>
      </c>
      <c r="E46" s="4">
        <f t="shared" si="2"/>
        <v>-651.46363987861696</v>
      </c>
      <c r="F46" s="4">
        <f>SUM($D$27:D46)</f>
        <v>-23023.904774920207</v>
      </c>
      <c r="G46" s="4">
        <f>Табл1[[#This Row],[Баланс на начало периода]]+Табл1[[#This Row],[Тело кредита]]</f>
        <v>76976.0952250798</v>
      </c>
      <c r="H46" s="20">
        <f>PV($B$10,$B$11-Табл1[[#This Row],[Период (№месяца)]]+1,$B$13,$B$6,$B$12)/IF(Табл1[[#This Row],[Период (№месяца)]]=1,1,1+$B$12*$B$10)</f>
        <v>78175.636785433802</v>
      </c>
      <c r="I46" s="4">
        <f>-FV($B$10,Табл1[[#This Row],[Период (№месяца)]],$B$13,$B$5,$B$12)/(1+$B$12*$B$10)</f>
        <v>76976.095225079916</v>
      </c>
      <c r="J4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78175.636785433817</v>
      </c>
      <c r="K46" s="4">
        <f>-($B$13*(1+$B$10*$B$12)*(1-(1+$B$10)^Табл1[[#This Row],[Период (№месяца)]])/$B$10-$B$5*((1+$B$10)^Табл1[[#This Row],[Период (№месяца)]]))/(1+$B$12*$B$10)</f>
        <v>76976.095225079916</v>
      </c>
      <c r="M46" s="5">
        <v>20</v>
      </c>
      <c r="N46" s="30">
        <f t="shared" si="5"/>
        <v>-1199.5415603542399</v>
      </c>
      <c r="O46" s="30">
        <f t="shared" si="6"/>
        <v>-1199.5415603542372</v>
      </c>
      <c r="P46" s="30">
        <f>Табл1[[#This Row],[Тело кредита]]-O46</f>
        <v>0</v>
      </c>
    </row>
    <row r="47" spans="1:25" x14ac:dyDescent="0.25">
      <c r="A47" s="3">
        <f>IF(ROW()-ROW(Табл1[[#Headers],[Период (№месяца)]])&gt;$B$11,0,ROW()-ROW(Табл1[[#Headers],[Период (№месяца)]]))</f>
        <v>21</v>
      </c>
      <c r="B47" s="4">
        <f>$B$5+SUM($D$26:D46)</f>
        <v>76976.0952250798</v>
      </c>
      <c r="C47" s="4">
        <f t="shared" si="0"/>
        <v>-1851.005200232855</v>
      </c>
      <c r="D47" s="4">
        <f t="shared" si="1"/>
        <v>-1209.5377400238567</v>
      </c>
      <c r="E47" s="4">
        <f t="shared" si="2"/>
        <v>-641.46746020899843</v>
      </c>
      <c r="F47" s="4">
        <f>SUM($D$27:D47)</f>
        <v>-24233.442514944065</v>
      </c>
      <c r="G47" s="4">
        <f>Табл1[[#This Row],[Баланс на начало периода]]+Табл1[[#This Row],[Тело кредита]]</f>
        <v>75766.55748505595</v>
      </c>
      <c r="H47" s="20">
        <f>PV($B$10,$B$11-Табл1[[#This Row],[Период (№месяца)]]+1,$B$13,$B$6,$B$12)/IF(Табл1[[#This Row],[Период (№месяца)]]=1,1,1+$B$12*$B$10)</f>
        <v>76976.095225079596</v>
      </c>
      <c r="I47" s="4">
        <f>-FV($B$10,Табл1[[#This Row],[Период (№месяца)]],$B$13,$B$5,$B$12)/(1+$B$12*$B$10)</f>
        <v>75766.557485056066</v>
      </c>
      <c r="J4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76976.095225079582</v>
      </c>
      <c r="K47" s="4">
        <f>-($B$13*(1+$B$10*$B$12)*(1-(1+$B$10)^Табл1[[#This Row],[Период (№месяца)]])/$B$10-$B$5*((1+$B$10)^Табл1[[#This Row],[Период (№месяца)]]))/(1+$B$12*$B$10)</f>
        <v>75766.557485056066</v>
      </c>
      <c r="M47" s="5">
        <v>21</v>
      </c>
      <c r="N47" s="30">
        <f t="shared" si="5"/>
        <v>-1209.5377400238585</v>
      </c>
      <c r="O47" s="30">
        <f t="shared" si="6"/>
        <v>-1209.5377400238556</v>
      </c>
      <c r="P47" s="30">
        <f>Табл1[[#This Row],[Тело кредита]]-O47</f>
        <v>0</v>
      </c>
    </row>
    <row r="48" spans="1:25" x14ac:dyDescent="0.25">
      <c r="A48" s="3">
        <f>IF(ROW()-ROW(Табл1[[#Headers],[Период (№месяца)]])&gt;$B$11,0,ROW()-ROW(Табл1[[#Headers],[Период (№месяца)]]))</f>
        <v>22</v>
      </c>
      <c r="B48" s="4">
        <f>$B$5+SUM($D$26:D47)</f>
        <v>75766.557485055935</v>
      </c>
      <c r="C48" s="4">
        <f t="shared" si="0"/>
        <v>-1851.005200232855</v>
      </c>
      <c r="D48" s="4">
        <f t="shared" si="1"/>
        <v>-1219.6172211907221</v>
      </c>
      <c r="E48" s="4">
        <f t="shared" si="2"/>
        <v>-631.38797904213277</v>
      </c>
      <c r="F48" s="4">
        <f>SUM($D$27:D48)</f>
        <v>-25453.059736134786</v>
      </c>
      <c r="G48" s="4">
        <f>Табл1[[#This Row],[Баланс на начало периода]]+Табл1[[#This Row],[Тело кредита]]</f>
        <v>74546.94026386521</v>
      </c>
      <c r="H48" s="20">
        <f>PV($B$10,$B$11-Табл1[[#This Row],[Период (№месяца)]]+1,$B$13,$B$6,$B$12)/IF(Табл1[[#This Row],[Период (№месяца)]]=1,1,1+$B$12*$B$10)</f>
        <v>75766.557485055702</v>
      </c>
      <c r="I48" s="4">
        <f>-FV($B$10,Табл1[[#This Row],[Период (№месяца)]],$B$13,$B$5,$B$12)/(1+$B$12*$B$10)</f>
        <v>74546.940263865326</v>
      </c>
      <c r="J4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75766.557485055702</v>
      </c>
      <c r="K48" s="4">
        <f>-($B$13*(1+$B$10*$B$12)*(1-(1+$B$10)^Табл1[[#This Row],[Период (№месяца)]])/$B$10-$B$5*((1+$B$10)^Табл1[[#This Row],[Период (№месяца)]]))/(1+$B$12*$B$10)</f>
        <v>74546.940263865326</v>
      </c>
      <c r="M48" s="5">
        <v>22</v>
      </c>
      <c r="N48" s="30">
        <f t="shared" si="5"/>
        <v>-1219.617221190724</v>
      </c>
      <c r="O48" s="30">
        <f t="shared" si="6"/>
        <v>-1219.617221190721</v>
      </c>
      <c r="P48" s="30">
        <f>Табл1[[#This Row],[Тело кредита]]-O48</f>
        <v>0</v>
      </c>
    </row>
    <row r="49" spans="1:16" x14ac:dyDescent="0.25">
      <c r="A49" s="3">
        <f>IF(ROW()-ROW(Табл1[[#Headers],[Период (№месяца)]])&gt;$B$11,0,ROW()-ROW(Табл1[[#Headers],[Период (№месяца)]]))</f>
        <v>23</v>
      </c>
      <c r="B49" s="4">
        <f>$B$5+SUM($D$26:D48)</f>
        <v>74546.94026386521</v>
      </c>
      <c r="C49" s="4">
        <f t="shared" si="0"/>
        <v>-1851.005200232855</v>
      </c>
      <c r="D49" s="4">
        <f t="shared" si="1"/>
        <v>-1229.7806980339781</v>
      </c>
      <c r="E49" s="4">
        <f t="shared" si="2"/>
        <v>-621.22450219887673</v>
      </c>
      <c r="F49" s="4">
        <f>SUM($D$27:D49)</f>
        <v>-26682.840434168764</v>
      </c>
      <c r="G49" s="4">
        <f>Табл1[[#This Row],[Баланс на начало периода]]+Табл1[[#This Row],[Тело кредита]]</f>
        <v>73317.159565831229</v>
      </c>
      <c r="H49" s="20">
        <f>PV($B$10,$B$11-Табл1[[#This Row],[Период (№месяца)]]+1,$B$13,$B$6,$B$12)/IF(Табл1[[#This Row],[Период (№месяца)]]=1,1,1+$B$12*$B$10)</f>
        <v>74546.940263865006</v>
      </c>
      <c r="I49" s="4">
        <f>-FV($B$10,Табл1[[#This Row],[Период (№месяца)]],$B$13,$B$5,$B$12)/(1+$B$12*$B$10)</f>
        <v>73317.159565831374</v>
      </c>
      <c r="J4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74546.940263865021</v>
      </c>
      <c r="K49" s="4">
        <f>-($B$13*(1+$B$10*$B$12)*(1-(1+$B$10)^Табл1[[#This Row],[Период (№месяца)]])/$B$10-$B$5*((1+$B$10)^Табл1[[#This Row],[Период (№месяца)]]))/(1+$B$12*$B$10)</f>
        <v>73317.159565831374</v>
      </c>
      <c r="M49" s="5">
        <v>23</v>
      </c>
      <c r="N49" s="30">
        <f t="shared" si="5"/>
        <v>-1229.7806980339799</v>
      </c>
      <c r="O49" s="30">
        <f t="shared" si="6"/>
        <v>-1229.7806980339772</v>
      </c>
      <c r="P49" s="30">
        <f>Табл1[[#This Row],[Тело кредита]]-O49</f>
        <v>0</v>
      </c>
    </row>
    <row r="50" spans="1:16" x14ac:dyDescent="0.25">
      <c r="A50" s="3">
        <f>IF(ROW()-ROW(Табл1[[#Headers],[Период (№месяца)]])&gt;$B$11,0,ROW()-ROW(Табл1[[#Headers],[Период (№месяца)]]))</f>
        <v>24</v>
      </c>
      <c r="B50" s="4">
        <f>$B$5+SUM($D$26:D49)</f>
        <v>73317.159565831244</v>
      </c>
      <c r="C50" s="4">
        <f t="shared" si="0"/>
        <v>-1851.005200232855</v>
      </c>
      <c r="D50" s="4">
        <f t="shared" si="1"/>
        <v>-1240.0288705175947</v>
      </c>
      <c r="E50" s="4">
        <f t="shared" si="2"/>
        <v>-610.97632971526036</v>
      </c>
      <c r="F50" s="4">
        <f>SUM($D$27:D50)</f>
        <v>-27922.869304686359</v>
      </c>
      <c r="G50" s="4">
        <f>Табл1[[#This Row],[Баланс на начало периода]]+Табл1[[#This Row],[Тело кредита]]</f>
        <v>72077.130695313652</v>
      </c>
      <c r="H50" s="20">
        <f>PV($B$10,$B$11-Табл1[[#This Row],[Период (№месяца)]]+1,$B$13,$B$6,$B$12)/IF(Табл1[[#This Row],[Период (№месяца)]]=1,1,1+$B$12*$B$10)</f>
        <v>73317.159565831025</v>
      </c>
      <c r="I50" s="4">
        <f>-FV($B$10,Табл1[[#This Row],[Период (№месяца)]],$B$13,$B$5,$B$12)/(1+$B$12*$B$10)</f>
        <v>72077.130695313768</v>
      </c>
      <c r="J5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73317.159565831025</v>
      </c>
      <c r="K50" s="4">
        <f>-($B$13*(1+$B$10*$B$12)*(1-(1+$B$10)^Табл1[[#This Row],[Период (№месяца)]])/$B$10-$B$5*((1+$B$10)^Табл1[[#This Row],[Период (№месяца)]]))/(1+$B$12*$B$10)</f>
        <v>72077.130695313768</v>
      </c>
      <c r="M50" s="5">
        <v>24</v>
      </c>
      <c r="N50" s="30">
        <f t="shared" si="5"/>
        <v>-1240.0288705175965</v>
      </c>
      <c r="O50" s="30">
        <f t="shared" si="6"/>
        <v>-1240.0288705175935</v>
      </c>
      <c r="P50" s="30">
        <f>Табл1[[#This Row],[Тело кредита]]-O50</f>
        <v>0</v>
      </c>
    </row>
    <row r="51" spans="1:16" x14ac:dyDescent="0.25">
      <c r="A51" s="3">
        <f>IF(ROW()-ROW(Табл1[[#Headers],[Период (№месяца)]])&gt;$B$11,0,ROW()-ROW(Табл1[[#Headers],[Период (№месяца)]]))</f>
        <v>25</v>
      </c>
      <c r="B51" s="4">
        <f>$B$5+SUM($D$26:D50)</f>
        <v>72077.130695313637</v>
      </c>
      <c r="C51" s="4">
        <f t="shared" si="0"/>
        <v>-1851.005200232855</v>
      </c>
      <c r="D51" s="4">
        <f t="shared" si="1"/>
        <v>-1250.3624444385748</v>
      </c>
      <c r="E51" s="4">
        <f t="shared" si="2"/>
        <v>-600.64275579428045</v>
      </c>
      <c r="F51" s="4">
        <f>SUM($D$27:D51)</f>
        <v>-29173.231749124934</v>
      </c>
      <c r="G51" s="4">
        <f>Табл1[[#This Row],[Баланс на начало периода]]+Табл1[[#This Row],[Тело кредита]]</f>
        <v>70826.768250875059</v>
      </c>
      <c r="H51" s="20">
        <f>PV($B$10,$B$11-Табл1[[#This Row],[Период (№месяца)]]+1,$B$13,$B$6,$B$12)/IF(Табл1[[#This Row],[Период (№месяца)]]=1,1,1+$B$12*$B$10)</f>
        <v>72077.130695313419</v>
      </c>
      <c r="I51" s="4">
        <f>-FV($B$10,Табл1[[#This Row],[Период (№месяца)]],$B$13,$B$5,$B$12)/(1+$B$12*$B$10)</f>
        <v>70826.768250875219</v>
      </c>
      <c r="J5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72077.130695313448</v>
      </c>
      <c r="K51" s="4">
        <f>-($B$13*(1+$B$10*$B$12)*(1-(1+$B$10)^Табл1[[#This Row],[Период (№месяца)]])/$B$10-$B$5*((1+$B$10)^Табл1[[#This Row],[Период (№месяца)]]))/(1+$B$12*$B$10)</f>
        <v>70826.768250875219</v>
      </c>
      <c r="M51" s="5">
        <v>25</v>
      </c>
      <c r="N51" s="30">
        <f t="shared" si="5"/>
        <v>-1250.3624444385764</v>
      </c>
      <c r="O51" s="30">
        <f t="shared" si="6"/>
        <v>-1250.3624444385734</v>
      </c>
      <c r="P51" s="30">
        <f>Табл1[[#This Row],[Тело кредита]]-O51</f>
        <v>0</v>
      </c>
    </row>
    <row r="52" spans="1:16" x14ac:dyDescent="0.25">
      <c r="A52" s="3">
        <f>IF(ROW()-ROW(Табл1[[#Headers],[Период (№месяца)]])&gt;$B$11,0,ROW()-ROW(Табл1[[#Headers],[Период (№месяца)]]))</f>
        <v>26</v>
      </c>
      <c r="B52" s="4">
        <f>$B$5+SUM($D$26:D51)</f>
        <v>70826.768250875059</v>
      </c>
      <c r="C52" s="4">
        <f t="shared" si="0"/>
        <v>-1851.005200232855</v>
      </c>
      <c r="D52" s="4">
        <f t="shared" si="1"/>
        <v>-1260.7821314755627</v>
      </c>
      <c r="E52" s="4">
        <f t="shared" si="2"/>
        <v>-590.22306875729225</v>
      </c>
      <c r="F52" s="4">
        <f>SUM($D$27:D52)</f>
        <v>-30434.013880600498</v>
      </c>
      <c r="G52" s="4">
        <f>Табл1[[#This Row],[Баланс на начало периода]]+Табл1[[#This Row],[Тело кредита]]</f>
        <v>69565.986119399502</v>
      </c>
      <c r="H52" s="20">
        <f>PV($B$10,$B$11-Табл1[[#This Row],[Период (№месяца)]]+1,$B$13,$B$6,$B$12)/IF(Табл1[[#This Row],[Период (№месяца)]]=1,1,1+$B$12*$B$10)</f>
        <v>70826.768250874869</v>
      </c>
      <c r="I52" s="4">
        <f>-FV($B$10,Табл1[[#This Row],[Период (№месяца)]],$B$13,$B$5,$B$12)/(1+$B$12*$B$10)</f>
        <v>69565.986119399648</v>
      </c>
      <c r="J5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70826.768250874869</v>
      </c>
      <c r="K52" s="4">
        <f>-($B$13*(1+$B$10*$B$12)*(1-(1+$B$10)^Табл1[[#This Row],[Период (№месяца)]])/$B$10-$B$5*((1+$B$10)^Табл1[[#This Row],[Период (№месяца)]]))/(1+$B$12*$B$10)</f>
        <v>69565.986119399648</v>
      </c>
      <c r="M52" s="5">
        <v>26</v>
      </c>
      <c r="N52" s="30">
        <f t="shared" si="5"/>
        <v>-1260.7821314755645</v>
      </c>
      <c r="O52" s="30">
        <f t="shared" si="6"/>
        <v>-1260.7821314755613</v>
      </c>
      <c r="P52" s="30">
        <f>Табл1[[#This Row],[Тело кредита]]-O52</f>
        <v>0</v>
      </c>
    </row>
    <row r="53" spans="1:16" x14ac:dyDescent="0.25">
      <c r="A53" s="3">
        <f>IF(ROW()-ROW(Табл1[[#Headers],[Период (№месяца)]])&gt;$B$11,0,ROW()-ROW(Табл1[[#Headers],[Период (№месяца)]]))</f>
        <v>27</v>
      </c>
      <c r="B53" s="4">
        <f>$B$5+SUM($D$26:D52)</f>
        <v>69565.986119399502</v>
      </c>
      <c r="C53" s="4">
        <f t="shared" si="0"/>
        <v>-1851.005200232855</v>
      </c>
      <c r="D53" s="4">
        <f t="shared" si="1"/>
        <v>-1271.2886492378591</v>
      </c>
      <c r="E53" s="4">
        <f t="shared" si="2"/>
        <v>-579.71655099499594</v>
      </c>
      <c r="F53" s="4">
        <f>SUM($D$27:D53)</f>
        <v>-31705.302529838358</v>
      </c>
      <c r="G53" s="4">
        <f>Табл1[[#This Row],[Баланс на начало периода]]+Табл1[[#This Row],[Тело кредита]]</f>
        <v>68294.697470161642</v>
      </c>
      <c r="H53" s="20">
        <f>PV($B$10,$B$11-Табл1[[#This Row],[Период (№месяца)]]+1,$B$13,$B$6,$B$12)/IF(Табл1[[#This Row],[Период (№месяца)]]=1,1,1+$B$12*$B$10)</f>
        <v>69565.986119399327</v>
      </c>
      <c r="I53" s="4">
        <f>-FV($B$10,Табл1[[#This Row],[Период (№месяца)]],$B$13,$B$5,$B$12)/(1+$B$12*$B$10)</f>
        <v>68294.697470161787</v>
      </c>
      <c r="J5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69565.986119399327</v>
      </c>
      <c r="K53" s="4">
        <f>-($B$13*(1+$B$10*$B$12)*(1-(1+$B$10)^Табл1[[#This Row],[Период (№месяца)]])/$B$10-$B$5*((1+$B$10)^Табл1[[#This Row],[Период (№месяца)]]))/(1+$B$12*$B$10)</f>
        <v>68294.697470161787</v>
      </c>
      <c r="M53" s="5">
        <v>27</v>
      </c>
      <c r="N53" s="30">
        <f t="shared" si="5"/>
        <v>-1271.2886492378605</v>
      </c>
      <c r="O53" s="30">
        <f t="shared" si="6"/>
        <v>-1271.2886492378577</v>
      </c>
      <c r="P53" s="30">
        <f>Табл1[[#This Row],[Тело кредита]]-O53</f>
        <v>0</v>
      </c>
    </row>
    <row r="54" spans="1:16" x14ac:dyDescent="0.25">
      <c r="A54" s="3">
        <f>IF(ROW()-ROW(Табл1[[#Headers],[Период (№месяца)]])&gt;$B$11,0,ROW()-ROW(Табл1[[#Headers],[Период (№месяца)]]))</f>
        <v>28</v>
      </c>
      <c r="B54" s="4">
        <f>$B$5+SUM($D$26:D53)</f>
        <v>68294.697470161642</v>
      </c>
      <c r="C54" s="4">
        <f t="shared" si="0"/>
        <v>-1851.005200232855</v>
      </c>
      <c r="D54" s="4">
        <f t="shared" si="1"/>
        <v>-1281.8827213148413</v>
      </c>
      <c r="E54" s="4">
        <f t="shared" si="2"/>
        <v>-569.12247891801371</v>
      </c>
      <c r="F54" s="4">
        <f>SUM($D$27:D54)</f>
        <v>-32987.185251153198</v>
      </c>
      <c r="G54" s="4">
        <f>Табл1[[#This Row],[Баланс на начало периода]]+Табл1[[#This Row],[Тело кредита]]</f>
        <v>67012.814748846795</v>
      </c>
      <c r="H54" s="20">
        <f>PV($B$10,$B$11-Табл1[[#This Row],[Период (№месяца)]]+1,$B$13,$B$6,$B$12)/IF(Табл1[[#This Row],[Период (№месяца)]]=1,1,1+$B$12*$B$10)</f>
        <v>68294.697470161453</v>
      </c>
      <c r="I54" s="4">
        <f>-FV($B$10,Табл1[[#This Row],[Период (№месяца)]],$B$13,$B$5,$B$12)/(1+$B$12*$B$10)</f>
        <v>67012.814748846955</v>
      </c>
      <c r="J5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68294.697470161453</v>
      </c>
      <c r="K54" s="4">
        <f>-($B$13*(1+$B$10*$B$12)*(1-(1+$B$10)^Табл1[[#This Row],[Период (№месяца)]])/$B$10-$B$5*((1+$B$10)^Табл1[[#This Row],[Период (№месяца)]]))/(1+$B$12*$B$10)</f>
        <v>67012.814748846955</v>
      </c>
      <c r="M54" s="5">
        <v>28</v>
      </c>
      <c r="N54" s="30">
        <f t="shared" si="5"/>
        <v>-1281.8827213148429</v>
      </c>
      <c r="O54" s="30">
        <f t="shared" si="6"/>
        <v>-1281.88272131484</v>
      </c>
      <c r="P54" s="30">
        <f>Табл1[[#This Row],[Тело кредита]]-O54</f>
        <v>0</v>
      </c>
    </row>
    <row r="55" spans="1:16" x14ac:dyDescent="0.25">
      <c r="A55" s="3">
        <f>IF(ROW()-ROW(Табл1[[#Headers],[Период (№месяца)]])&gt;$B$11,0,ROW()-ROW(Табл1[[#Headers],[Период (№месяца)]]))</f>
        <v>29</v>
      </c>
      <c r="B55" s="4">
        <f>$B$5+SUM($D$26:D54)</f>
        <v>67012.814748846809</v>
      </c>
      <c r="C55" s="4">
        <f t="shared" si="0"/>
        <v>-1851.005200232855</v>
      </c>
      <c r="D55" s="4">
        <f t="shared" si="1"/>
        <v>-1292.5650773257983</v>
      </c>
      <c r="E55" s="4">
        <f t="shared" si="2"/>
        <v>-558.44012290705666</v>
      </c>
      <c r="F55" s="4">
        <f>SUM($D$27:D55)</f>
        <v>-34279.750328478993</v>
      </c>
      <c r="G55" s="4">
        <f>Табл1[[#This Row],[Баланс на начало периода]]+Табл1[[#This Row],[Тело кредита]]</f>
        <v>65720.249671521015</v>
      </c>
      <c r="H55" s="20">
        <f>PV($B$10,$B$11-Табл1[[#This Row],[Период (№месяца)]]+1,$B$13,$B$6,$B$12)/IF(Табл1[[#This Row],[Период (№месяца)]]=1,1,1+$B$12*$B$10)</f>
        <v>67012.814748846635</v>
      </c>
      <c r="I55" s="4">
        <f>-FV($B$10,Табл1[[#This Row],[Период (№месяца)]],$B$13,$B$5,$B$12)/(1+$B$12*$B$10)</f>
        <v>65720.249671521189</v>
      </c>
      <c r="J5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67012.814748846635</v>
      </c>
      <c r="K55" s="4">
        <f>-($B$13*(1+$B$10*$B$12)*(1-(1+$B$10)^Табл1[[#This Row],[Период (№месяца)]])/$B$10-$B$5*((1+$B$10)^Табл1[[#This Row],[Период (№месяца)]]))/(1+$B$12*$B$10)</f>
        <v>65720.249671521189</v>
      </c>
      <c r="M55" s="5">
        <v>29</v>
      </c>
      <c r="N55" s="30">
        <f t="shared" si="5"/>
        <v>-1292.5650773257996</v>
      </c>
      <c r="O55" s="30">
        <f t="shared" si="6"/>
        <v>-1292.5650773257969</v>
      </c>
      <c r="P55" s="30">
        <f>Табл1[[#This Row],[Тело кредита]]-O55</f>
        <v>0</v>
      </c>
    </row>
    <row r="56" spans="1:16" x14ac:dyDescent="0.25">
      <c r="A56" s="3">
        <f>IF(ROW()-ROW(Табл1[[#Headers],[Период (№месяца)]])&gt;$B$11,0,ROW()-ROW(Табл1[[#Headers],[Период (№месяца)]]))</f>
        <v>30</v>
      </c>
      <c r="B56" s="4">
        <f>$B$5+SUM($D$26:D55)</f>
        <v>65720.249671521015</v>
      </c>
      <c r="C56" s="4">
        <f t="shared" si="0"/>
        <v>-1851.005200232855</v>
      </c>
      <c r="D56" s="4">
        <f t="shared" si="1"/>
        <v>-1303.3364529701798</v>
      </c>
      <c r="E56" s="4">
        <f t="shared" si="2"/>
        <v>-547.6687472626752</v>
      </c>
      <c r="F56" s="4">
        <f>SUM($D$27:D56)</f>
        <v>-35583.086781449172</v>
      </c>
      <c r="G56" s="4">
        <f>Табл1[[#This Row],[Баланс на начало периода]]+Табл1[[#This Row],[Тело кредита]]</f>
        <v>64416.913218550835</v>
      </c>
      <c r="H56" s="20">
        <f>PV($B$10,$B$11-Табл1[[#This Row],[Период (№месяца)]]+1,$B$13,$B$6,$B$12)/IF(Табл1[[#This Row],[Период (№месяца)]]=1,1,1+$B$12*$B$10)</f>
        <v>65720.24967152084</v>
      </c>
      <c r="I56" s="4">
        <f>-FV($B$10,Табл1[[#This Row],[Период (№месяца)]],$B$13,$B$5,$B$12)/(1+$B$12*$B$10)</f>
        <v>64416.913218550995</v>
      </c>
      <c r="J5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65720.24967152084</v>
      </c>
      <c r="K56" s="4">
        <f>-($B$13*(1+$B$10*$B$12)*(1-(1+$B$10)^Табл1[[#This Row],[Период (№месяца)]])/$B$10-$B$5*((1+$B$10)^Табл1[[#This Row],[Период (№месяца)]]))/(1+$B$12*$B$10)</f>
        <v>64416.913218550988</v>
      </c>
      <c r="M56" s="5">
        <v>30</v>
      </c>
      <c r="N56" s="30">
        <f t="shared" si="5"/>
        <v>-1303.3364529701814</v>
      </c>
      <c r="O56" s="30">
        <f t="shared" si="6"/>
        <v>-1303.3364529701782</v>
      </c>
      <c r="P56" s="30">
        <f>Табл1[[#This Row],[Тело кредита]]-O56</f>
        <v>0</v>
      </c>
    </row>
    <row r="57" spans="1:16" x14ac:dyDescent="0.25">
      <c r="A57" s="3">
        <f>IF(ROW()-ROW(Табл1[[#Headers],[Период (№месяца)]])&gt;$B$11,0,ROW()-ROW(Табл1[[#Headers],[Период (№месяца)]]))</f>
        <v>31</v>
      </c>
      <c r="B57" s="4">
        <f>$B$5+SUM($D$26:D56)</f>
        <v>64416.913218550828</v>
      </c>
      <c r="C57" s="4">
        <f t="shared" si="0"/>
        <v>-1851.005200232855</v>
      </c>
      <c r="D57" s="4">
        <f t="shared" si="1"/>
        <v>-1314.1975900782647</v>
      </c>
      <c r="E57" s="4">
        <f t="shared" si="2"/>
        <v>-536.80761015459018</v>
      </c>
      <c r="F57" s="4">
        <f>SUM($D$27:D57)</f>
        <v>-36897.284371527436</v>
      </c>
      <c r="G57" s="4">
        <f>Табл1[[#This Row],[Баланс на начало периода]]+Табл1[[#This Row],[Тело кредита]]</f>
        <v>63102.715628472564</v>
      </c>
      <c r="H57" s="20">
        <f>PV($B$10,$B$11-Табл1[[#This Row],[Период (№месяца)]]+1,$B$13,$B$6,$B$12)/IF(Табл1[[#This Row],[Период (№месяца)]]=1,1,1+$B$12*$B$10)</f>
        <v>64416.913218550661</v>
      </c>
      <c r="I57" s="4">
        <f>-FV($B$10,Табл1[[#This Row],[Период (№месяца)]],$B$13,$B$5,$B$12)/(1+$B$12*$B$10)</f>
        <v>63102.715628472739</v>
      </c>
      <c r="J5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64416.913218550675</v>
      </c>
      <c r="K57" s="4">
        <f>-($B$13*(1+$B$10*$B$12)*(1-(1+$B$10)^Табл1[[#This Row],[Период (№месяца)]])/$B$10-$B$5*((1+$B$10)^Табл1[[#This Row],[Период (№месяца)]]))/(1+$B$12*$B$10)</f>
        <v>63102.715628472753</v>
      </c>
      <c r="M57" s="5">
        <v>31</v>
      </c>
      <c r="N57" s="30">
        <f t="shared" si="5"/>
        <v>-1314.1975900782661</v>
      </c>
      <c r="O57" s="30">
        <f t="shared" si="6"/>
        <v>-1314.1975900782634</v>
      </c>
      <c r="P57" s="30">
        <f>Табл1[[#This Row],[Тело кредита]]-O57</f>
        <v>0</v>
      </c>
    </row>
    <row r="58" spans="1:16" x14ac:dyDescent="0.25">
      <c r="A58" s="3">
        <f>IF(ROW()-ROW(Табл1[[#Headers],[Период (№месяца)]])&gt;$B$11,0,ROW()-ROW(Табл1[[#Headers],[Период (№месяца)]]))</f>
        <v>32</v>
      </c>
      <c r="B58" s="4">
        <f>$B$5+SUM($D$26:D57)</f>
        <v>63102.715628472564</v>
      </c>
      <c r="C58" s="4">
        <f t="shared" si="0"/>
        <v>-1851.005200232855</v>
      </c>
      <c r="D58" s="4">
        <f t="shared" si="1"/>
        <v>-1325.1492366622501</v>
      </c>
      <c r="E58" s="4">
        <f t="shared" si="2"/>
        <v>-525.85596357060467</v>
      </c>
      <c r="F58" s="4">
        <f>SUM($D$27:D58)</f>
        <v>-38222.433608189684</v>
      </c>
      <c r="G58" s="4">
        <f>Табл1[[#This Row],[Баланс на начало периода]]+Табл1[[#This Row],[Тело кредита]]</f>
        <v>61777.566391810316</v>
      </c>
      <c r="H58" s="20">
        <f>PV($B$10,$B$11-Табл1[[#This Row],[Период (№месяца)]]+1,$B$13,$B$6,$B$12)/IF(Табл1[[#This Row],[Период (№месяца)]]=1,1,1+$B$12*$B$10)</f>
        <v>63102.715628472368</v>
      </c>
      <c r="I58" s="4">
        <f>-FV($B$10,Табл1[[#This Row],[Период (№месяца)]],$B$13,$B$5,$B$12)/(1+$B$12*$B$10)</f>
        <v>61777.566391810484</v>
      </c>
      <c r="J5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63102.715628472375</v>
      </c>
      <c r="K58" s="4">
        <f>-($B$13*(1+$B$10*$B$12)*(1-(1+$B$10)^Табл1[[#This Row],[Период (№месяца)]])/$B$10-$B$5*((1+$B$10)^Табл1[[#This Row],[Период (№месяца)]]))/(1+$B$12*$B$10)</f>
        <v>61777.566391810498</v>
      </c>
      <c r="M58" s="5">
        <v>32</v>
      </c>
      <c r="N58" s="30">
        <f t="shared" si="5"/>
        <v>-1325.149236662252</v>
      </c>
      <c r="O58" s="30">
        <f t="shared" si="6"/>
        <v>-1325.1492366622485</v>
      </c>
      <c r="P58" s="30">
        <f>Табл1[[#This Row],[Тело кредита]]-O58</f>
        <v>0</v>
      </c>
    </row>
    <row r="59" spans="1:16" x14ac:dyDescent="0.25">
      <c r="A59" s="3">
        <f>IF(ROW()-ROW(Табл1[[#Headers],[Период (№месяца)]])&gt;$B$11,0,ROW()-ROW(Табл1[[#Headers],[Период (№месяца)]]))</f>
        <v>33</v>
      </c>
      <c r="B59" s="4">
        <f>$B$5+SUM($D$26:D58)</f>
        <v>61777.566391810316</v>
      </c>
      <c r="C59" s="4">
        <f t="shared" ref="C59:C86" si="7">PMT($B$10,$B$11,$B$5,$B$6,$B$12)</f>
        <v>-1851.005200232855</v>
      </c>
      <c r="D59" s="4">
        <f t="shared" ref="D59:D86" si="8">PPMT($B$10,A59,$B$11,$B$5,$B$6,$B$12)</f>
        <v>-1336.1921469677688</v>
      </c>
      <c r="E59" s="4">
        <f t="shared" ref="E59:E86" si="9">IPMT($B$10,A59,$B$11,$B$5,$B$6,$B$12)</f>
        <v>-514.81305326508595</v>
      </c>
      <c r="F59" s="4">
        <f>SUM($D$27:D59)</f>
        <v>-39558.625755157453</v>
      </c>
      <c r="G59" s="4">
        <f>Табл1[[#This Row],[Баланс на начало периода]]+Табл1[[#This Row],[Тело кредита]]</f>
        <v>60441.374244842547</v>
      </c>
      <c r="H59" s="20">
        <f>PV($B$10,$B$11-Табл1[[#This Row],[Период (№месяца)]]+1,$B$13,$B$6,$B$12)/IF(Табл1[[#This Row],[Период (№месяца)]]=1,1,1+$B$12*$B$10)</f>
        <v>61777.566391810156</v>
      </c>
      <c r="I59" s="4">
        <f>-FV($B$10,Табл1[[#This Row],[Период (№месяца)]],$B$13,$B$5,$B$12)/(1+$B$12*$B$10)</f>
        <v>60441.374244842758</v>
      </c>
      <c r="J5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61777.566391810164</v>
      </c>
      <c r="K59" s="4">
        <f>-($B$13*(1+$B$10*$B$12)*(1-(1+$B$10)^Табл1[[#This Row],[Период (№месяца)]])/$B$10-$B$5*((1+$B$10)^Табл1[[#This Row],[Период (№месяца)]]))/(1+$B$12*$B$10)</f>
        <v>60441.374244842744</v>
      </c>
      <c r="M59" s="5">
        <v>33</v>
      </c>
      <c r="N59" s="30">
        <f t="shared" si="5"/>
        <v>-1336.1921469677702</v>
      </c>
      <c r="O59" s="30">
        <f t="shared" si="6"/>
        <v>-1336.1921469677675</v>
      </c>
      <c r="P59" s="30">
        <f>Табл1[[#This Row],[Тело кредита]]-O59</f>
        <v>0</v>
      </c>
    </row>
    <row r="60" spans="1:16" x14ac:dyDescent="0.25">
      <c r="A60" s="3">
        <f>IF(ROW()-ROW(Табл1[[#Headers],[Период (№месяца)]])&gt;$B$11,0,ROW()-ROW(Табл1[[#Headers],[Период (№месяца)]]))</f>
        <v>34</v>
      </c>
      <c r="B60" s="4">
        <f>$B$5+SUM($D$26:D59)</f>
        <v>60441.374244842547</v>
      </c>
      <c r="C60" s="4">
        <f t="shared" si="7"/>
        <v>-1851.005200232855</v>
      </c>
      <c r="D60" s="4">
        <f t="shared" si="8"/>
        <v>-1347.3270815258338</v>
      </c>
      <c r="E60" s="4">
        <f t="shared" si="9"/>
        <v>-503.67811870702121</v>
      </c>
      <c r="F60" s="4">
        <f>SUM($D$27:D60)</f>
        <v>-40905.952836683289</v>
      </c>
      <c r="G60" s="4">
        <f>Табл1[[#This Row],[Баланс на начало периода]]+Табл1[[#This Row],[Тело кредита]]</f>
        <v>59094.047163316711</v>
      </c>
      <c r="H60" s="20">
        <f>PV($B$10,$B$11-Табл1[[#This Row],[Период (№месяца)]]+1,$B$13,$B$6,$B$12)/IF(Табл1[[#This Row],[Период (№месяца)]]=1,1,1+$B$12*$B$10)</f>
        <v>60441.374244842402</v>
      </c>
      <c r="I60" s="4">
        <f>-FV($B$10,Табл1[[#This Row],[Период (№месяца)]],$B$13,$B$5,$B$12)/(1+$B$12*$B$10)</f>
        <v>59094.047163316893</v>
      </c>
      <c r="J6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60441.374244842402</v>
      </c>
      <c r="K60" s="4">
        <f>-($B$13*(1+$B$10*$B$12)*(1-(1+$B$10)^Табл1[[#This Row],[Период (№месяца)]])/$B$10-$B$5*((1+$B$10)^Табл1[[#This Row],[Период (№месяца)]]))/(1+$B$12*$B$10)</f>
        <v>59094.047163316907</v>
      </c>
      <c r="M60" s="5">
        <v>34</v>
      </c>
      <c r="N60" s="30">
        <f t="shared" si="5"/>
        <v>-1347.327081525835</v>
      </c>
      <c r="O60" s="30">
        <f t="shared" si="6"/>
        <v>-1347.327081525832</v>
      </c>
      <c r="P60" s="30">
        <f>Табл1[[#This Row],[Тело кредита]]-O60</f>
        <v>-1.8189894035458565E-12</v>
      </c>
    </row>
    <row r="61" spans="1:16" x14ac:dyDescent="0.25">
      <c r="A61" s="3">
        <f>IF(ROW()-ROW(Табл1[[#Headers],[Период (№месяца)]])&gt;$B$11,0,ROW()-ROW(Табл1[[#Headers],[Период (№месяца)]]))</f>
        <v>35</v>
      </c>
      <c r="B61" s="4">
        <f>$B$5+SUM($D$26:D60)</f>
        <v>59094.047163316711</v>
      </c>
      <c r="C61" s="4">
        <f t="shared" si="7"/>
        <v>-1851.005200232855</v>
      </c>
      <c r="D61" s="4">
        <f t="shared" si="8"/>
        <v>-1358.5548072052154</v>
      </c>
      <c r="E61" s="4">
        <f t="shared" si="9"/>
        <v>-492.45039302763928</v>
      </c>
      <c r="F61" s="4">
        <f>SUM($D$27:D61)</f>
        <v>-42264.507643888508</v>
      </c>
      <c r="G61" s="4">
        <f>Табл1[[#This Row],[Баланс на начало периода]]+Табл1[[#This Row],[Тело кредита]]</f>
        <v>57735.492356111492</v>
      </c>
      <c r="H61" s="20">
        <f>PV($B$10,$B$11-Табл1[[#This Row],[Период (№месяца)]]+1,$B$13,$B$6,$B$12)/IF(Табл1[[#This Row],[Период (№месяца)]]=1,1,1+$B$12*$B$10)</f>
        <v>59094.047163316558</v>
      </c>
      <c r="I61" s="4">
        <f>-FV($B$10,Табл1[[#This Row],[Период (№месяца)]],$B$13,$B$5,$B$12)/(1+$B$12*$B$10)</f>
        <v>57735.49235611171</v>
      </c>
      <c r="J6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59094.047163316551</v>
      </c>
      <c r="K61" s="4">
        <f>-($B$13*(1+$B$10*$B$12)*(1-(1+$B$10)^Табл1[[#This Row],[Период (№месяца)]])/$B$10-$B$5*((1+$B$10)^Табл1[[#This Row],[Период (№месяца)]]))/(1+$B$12*$B$10)</f>
        <v>57735.49235611171</v>
      </c>
      <c r="M61" s="5">
        <v>35</v>
      </c>
      <c r="N61" s="30">
        <f t="shared" si="5"/>
        <v>-1358.5548072052172</v>
      </c>
      <c r="O61" s="30">
        <f t="shared" si="6"/>
        <v>-1358.554807205214</v>
      </c>
      <c r="P61" s="30">
        <f>Табл1[[#This Row],[Тело кредита]]-O61</f>
        <v>0</v>
      </c>
    </row>
    <row r="62" spans="1:16" x14ac:dyDescent="0.25">
      <c r="A62" s="3">
        <f>IF(ROW()-ROW(Табл1[[#Headers],[Период (№месяца)]])&gt;$B$11,0,ROW()-ROW(Табл1[[#Headers],[Период (№месяца)]]))</f>
        <v>36</v>
      </c>
      <c r="B62" s="4">
        <f>$B$5+SUM($D$26:D61)</f>
        <v>57735.492356111492</v>
      </c>
      <c r="C62" s="4">
        <f t="shared" si="7"/>
        <v>-1851.005200232855</v>
      </c>
      <c r="D62" s="4">
        <f t="shared" si="8"/>
        <v>-1369.8760972652592</v>
      </c>
      <c r="E62" s="4">
        <f t="shared" si="9"/>
        <v>-481.12910296759583</v>
      </c>
      <c r="F62" s="4">
        <f>SUM($D$27:D62)</f>
        <v>-43634.383741153768</v>
      </c>
      <c r="G62" s="4">
        <f>Табл1[[#This Row],[Баланс на начало периода]]+Табл1[[#This Row],[Тело кредита]]</f>
        <v>56365.616258846232</v>
      </c>
      <c r="H62" s="20">
        <f>PV($B$10,$B$11-Табл1[[#This Row],[Период (№месяца)]]+1,$B$13,$B$6,$B$12)/IF(Табл1[[#This Row],[Период (№месяца)]]=1,1,1+$B$12*$B$10)</f>
        <v>57735.492356111332</v>
      </c>
      <c r="I62" s="4">
        <f>-FV($B$10,Табл1[[#This Row],[Период (№месяца)]],$B$13,$B$5,$B$12)/(1+$B$12*$B$10)</f>
        <v>56365.616258846472</v>
      </c>
      <c r="J6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57735.492356111325</v>
      </c>
      <c r="K62" s="4">
        <f>-($B$13*(1+$B$10*$B$12)*(1-(1+$B$10)^Табл1[[#This Row],[Период (№месяца)]])/$B$10-$B$5*((1+$B$10)^Табл1[[#This Row],[Период (№месяца)]]))/(1+$B$12*$B$10)</f>
        <v>56365.616258846458</v>
      </c>
      <c r="M62" s="5">
        <v>36</v>
      </c>
      <c r="N62" s="30">
        <f t="shared" si="5"/>
        <v>-1369.8760972652606</v>
      </c>
      <c r="O62" s="30">
        <f t="shared" si="6"/>
        <v>-1369.8760972652572</v>
      </c>
      <c r="P62" s="30">
        <f>Табл1[[#This Row],[Тело кредита]]-O62</f>
        <v>-2.0463630789890885E-12</v>
      </c>
    </row>
    <row r="63" spans="1:16" x14ac:dyDescent="0.25">
      <c r="A63" s="3">
        <f>IF(ROW()-ROW(Табл1[[#Headers],[Период (№месяца)]])&gt;$B$11,0,ROW()-ROW(Табл1[[#Headers],[Период (№месяца)]]))</f>
        <v>37</v>
      </c>
      <c r="B63" s="4">
        <f>$B$5+SUM($D$26:D62)</f>
        <v>56365.616258846232</v>
      </c>
      <c r="C63" s="4">
        <f t="shared" si="7"/>
        <v>-1851.005200232855</v>
      </c>
      <c r="D63" s="4">
        <f t="shared" si="8"/>
        <v>-1381.2917314091362</v>
      </c>
      <c r="E63" s="4">
        <f t="shared" si="9"/>
        <v>-469.7134688237187</v>
      </c>
      <c r="F63" s="4">
        <f>SUM($D$27:D63)</f>
        <v>-45015.675472562907</v>
      </c>
      <c r="G63" s="4">
        <f>Табл1[[#This Row],[Баланс на начало периода]]+Табл1[[#This Row],[Тело кредита]]</f>
        <v>54984.324527437093</v>
      </c>
      <c r="H63" s="20">
        <f>PV($B$10,$B$11-Табл1[[#This Row],[Период (№месяца)]]+1,$B$13,$B$6,$B$12)/IF(Табл1[[#This Row],[Период (№месяца)]]=1,1,1+$B$12*$B$10)</f>
        <v>56365.616258846101</v>
      </c>
      <c r="I63" s="4">
        <f>-FV($B$10,Табл1[[#This Row],[Период (№месяца)]],$B$13,$B$5,$B$12)/(1+$B$12*$B$10)</f>
        <v>54984.324527437333</v>
      </c>
      <c r="J6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56365.616258846094</v>
      </c>
      <c r="K63" s="4">
        <f>-($B$13*(1+$B$10*$B$12)*(1-(1+$B$10)^Табл1[[#This Row],[Период (№месяца)]])/$B$10-$B$5*((1+$B$10)^Табл1[[#This Row],[Период (№месяца)]]))/(1+$B$12*$B$10)</f>
        <v>54984.324527437333</v>
      </c>
      <c r="M63" s="5">
        <v>37</v>
      </c>
      <c r="N63" s="30">
        <f t="shared" si="5"/>
        <v>-1381.2917314091376</v>
      </c>
      <c r="O63" s="30">
        <f t="shared" si="6"/>
        <v>-1381.2917314091342</v>
      </c>
      <c r="P63" s="30">
        <f>Табл1[[#This Row],[Тело кредита]]-O63</f>
        <v>-2.0463630789890885E-12</v>
      </c>
    </row>
    <row r="64" spans="1:16" x14ac:dyDescent="0.25">
      <c r="A64" s="3">
        <f>IF(ROW()-ROW(Табл1[[#Headers],[Период (№месяца)]])&gt;$B$11,0,ROW()-ROW(Табл1[[#Headers],[Период (№месяца)]]))</f>
        <v>38</v>
      </c>
      <c r="B64" s="4">
        <f>$B$5+SUM($D$26:D63)</f>
        <v>54984.324527437093</v>
      </c>
      <c r="C64" s="4">
        <f t="shared" si="7"/>
        <v>-1851.005200232855</v>
      </c>
      <c r="D64" s="4">
        <f t="shared" si="8"/>
        <v>-1392.8024958375458</v>
      </c>
      <c r="E64" s="4">
        <f t="shared" si="9"/>
        <v>-458.20270439530924</v>
      </c>
      <c r="F64" s="4">
        <f>SUM($D$27:D64)</f>
        <v>-46408.477968400453</v>
      </c>
      <c r="G64" s="4">
        <f>Табл1[[#This Row],[Баланс на начало периода]]+Табл1[[#This Row],[Тело кредита]]</f>
        <v>53591.522031599547</v>
      </c>
      <c r="H64" s="20">
        <f>PV($B$10,$B$11-Табл1[[#This Row],[Период (№месяца)]]+1,$B$13,$B$6,$B$12)/IF(Табл1[[#This Row],[Период (№месяца)]]=1,1,1+$B$12*$B$10)</f>
        <v>54984.324527436962</v>
      </c>
      <c r="I64" s="4">
        <f>-FV($B$10,Табл1[[#This Row],[Период (№месяца)]],$B$13,$B$5,$B$12)/(1+$B$12*$B$10)</f>
        <v>53591.522031599801</v>
      </c>
      <c r="J6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54984.324527436962</v>
      </c>
      <c r="K64" s="4">
        <f>-($B$13*(1+$B$10*$B$12)*(1-(1+$B$10)^Табл1[[#This Row],[Период (№месяца)]])/$B$10-$B$5*((1+$B$10)^Табл1[[#This Row],[Период (№месяца)]]))/(1+$B$12*$B$10)</f>
        <v>53591.522031599801</v>
      </c>
      <c r="M64" s="5">
        <v>38</v>
      </c>
      <c r="N64" s="30">
        <f t="shared" si="5"/>
        <v>-1392.802495837547</v>
      </c>
      <c r="O64" s="30">
        <f t="shared" si="6"/>
        <v>-1392.8024958375436</v>
      </c>
      <c r="P64" s="30">
        <f>Табл1[[#This Row],[Тело кредита]]-O64</f>
        <v>-2.2737367544323206E-12</v>
      </c>
    </row>
    <row r="65" spans="1:16" x14ac:dyDescent="0.25">
      <c r="A65" s="3">
        <f>IF(ROW()-ROW(Табл1[[#Headers],[Период (№месяца)]])&gt;$B$11,0,ROW()-ROW(Табл1[[#Headers],[Период (№месяца)]]))</f>
        <v>39</v>
      </c>
      <c r="B65" s="4">
        <f>$B$5+SUM($D$26:D64)</f>
        <v>53591.522031599547</v>
      </c>
      <c r="C65" s="4">
        <f t="shared" si="7"/>
        <v>-1851.005200232855</v>
      </c>
      <c r="D65" s="4">
        <f t="shared" si="8"/>
        <v>-1404.4091833028588</v>
      </c>
      <c r="E65" s="4">
        <f t="shared" si="9"/>
        <v>-446.59601692999627</v>
      </c>
      <c r="F65" s="4">
        <f>SUM($D$27:D65)</f>
        <v>-47812.887151703311</v>
      </c>
      <c r="G65" s="4">
        <f>Табл1[[#This Row],[Баланс на начало периода]]+Табл1[[#This Row],[Тело кредита]]</f>
        <v>52187.112848296689</v>
      </c>
      <c r="H65" s="20">
        <f>PV($B$10,$B$11-Табл1[[#This Row],[Период (№месяца)]]+1,$B$13,$B$6,$B$12)/IF(Табл1[[#This Row],[Период (№месяца)]]=1,1,1+$B$12*$B$10)</f>
        <v>53591.522031599437</v>
      </c>
      <c r="I65" s="4">
        <f>-FV($B$10,Табл1[[#This Row],[Период (№месяца)]],$B$13,$B$5,$B$12)/(1+$B$12*$B$10)</f>
        <v>52187.112848296965</v>
      </c>
      <c r="J6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53591.522031599452</v>
      </c>
      <c r="K65" s="4">
        <f>-($B$13*(1+$B$10*$B$12)*(1-(1+$B$10)^Табл1[[#This Row],[Период (№месяца)]])/$B$10-$B$5*((1+$B$10)^Табл1[[#This Row],[Период (№месяца)]]))/(1+$B$12*$B$10)</f>
        <v>52187.112848296965</v>
      </c>
      <c r="M65" s="5">
        <v>39</v>
      </c>
      <c r="N65" s="30">
        <f t="shared" si="5"/>
        <v>-1404.4091833028597</v>
      </c>
      <c r="O65" s="30">
        <f t="shared" si="6"/>
        <v>-1404.4091833028567</v>
      </c>
      <c r="P65" s="30">
        <f>Табл1[[#This Row],[Тело кредита]]-O65</f>
        <v>-2.0463630789890885E-12</v>
      </c>
    </row>
    <row r="66" spans="1:16" x14ac:dyDescent="0.25">
      <c r="A66" s="3">
        <f>IF(ROW()-ROW(Табл1[[#Headers],[Период (№месяца)]])&gt;$B$11,0,ROW()-ROW(Табл1[[#Headers],[Период (№месяца)]]))</f>
        <v>40</v>
      </c>
      <c r="B66" s="4">
        <f>$B$5+SUM($D$26:D65)</f>
        <v>52187.112848296689</v>
      </c>
      <c r="C66" s="4">
        <f t="shared" si="7"/>
        <v>-1851.005200232855</v>
      </c>
      <c r="D66" s="4">
        <f t="shared" si="8"/>
        <v>-1416.1125931637157</v>
      </c>
      <c r="E66" s="4">
        <f t="shared" si="9"/>
        <v>-434.89260706913916</v>
      </c>
      <c r="F66" s="4">
        <f>SUM($D$27:D66)</f>
        <v>-49228.999744867026</v>
      </c>
      <c r="G66" s="4">
        <f>Табл1[[#This Row],[Баланс на начало периода]]+Табл1[[#This Row],[Тело кредита]]</f>
        <v>50771.000255132974</v>
      </c>
      <c r="H66" s="20">
        <f>PV($B$10,$B$11-Табл1[[#This Row],[Период (№месяца)]]+1,$B$13,$B$6,$B$12)/IF(Табл1[[#This Row],[Период (№месяца)]]=1,1,1+$B$12*$B$10)</f>
        <v>52187.112848296543</v>
      </c>
      <c r="I66" s="4">
        <f>-FV($B$10,Табл1[[#This Row],[Период (№месяца)]],$B$13,$B$5,$B$12)/(1+$B$12*$B$10)</f>
        <v>50771.000255133236</v>
      </c>
      <c r="J6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52187.112848296543</v>
      </c>
      <c r="K66" s="4">
        <f>-($B$13*(1+$B$10*$B$12)*(1-(1+$B$10)^Табл1[[#This Row],[Период (№месяца)]])/$B$10-$B$5*((1+$B$10)^Табл1[[#This Row],[Период (№месяца)]]))/(1+$B$12*$B$10)</f>
        <v>50771.000255133236</v>
      </c>
      <c r="M66" s="5">
        <v>40</v>
      </c>
      <c r="N66" s="30">
        <f t="shared" si="5"/>
        <v>-1416.1125931637171</v>
      </c>
      <c r="O66" s="30">
        <f t="shared" si="6"/>
        <v>-1416.1125931637134</v>
      </c>
      <c r="P66" s="30">
        <f>Табл1[[#This Row],[Тело кредита]]-O66</f>
        <v>-2.2737367544323206E-12</v>
      </c>
    </row>
    <row r="67" spans="1:16" x14ac:dyDescent="0.25">
      <c r="A67" s="3">
        <f>IF(ROW()-ROW(Табл1[[#Headers],[Период (№месяца)]])&gt;$B$11,0,ROW()-ROW(Табл1[[#Headers],[Период (№месяца)]]))</f>
        <v>41</v>
      </c>
      <c r="B67" s="4">
        <f>$B$5+SUM($D$26:D66)</f>
        <v>50771.000255132974</v>
      </c>
      <c r="C67" s="4">
        <f t="shared" si="7"/>
        <v>-1851.005200232855</v>
      </c>
      <c r="D67" s="4">
        <f t="shared" si="8"/>
        <v>-1427.9135314400803</v>
      </c>
      <c r="E67" s="4">
        <f t="shared" si="9"/>
        <v>-423.0916687927749</v>
      </c>
      <c r="F67" s="4">
        <f>SUM($D$27:D67)</f>
        <v>-50656.913276307103</v>
      </c>
      <c r="G67" s="4">
        <f>Табл1[[#This Row],[Баланс на начало периода]]+Табл1[[#This Row],[Тело кредита]]</f>
        <v>49343.086723692897</v>
      </c>
      <c r="H67" s="20">
        <f>PV($B$10,$B$11-Табл1[[#This Row],[Период (№месяца)]]+1,$B$13,$B$6,$B$12)/IF(Табл1[[#This Row],[Период (№месяца)]]=1,1,1+$B$12*$B$10)</f>
        <v>50771.000255132843</v>
      </c>
      <c r="I67" s="4">
        <f>-FV($B$10,Табл1[[#This Row],[Период (№месяца)]],$B$13,$B$5,$B$12)/(1+$B$12*$B$10)</f>
        <v>49343.086723693195</v>
      </c>
      <c r="J6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50771.000255132843</v>
      </c>
      <c r="K67" s="4">
        <f>-($B$13*(1+$B$10*$B$12)*(1-(1+$B$10)^Табл1[[#This Row],[Период (№месяца)]])/$B$10-$B$5*((1+$B$10)^Табл1[[#This Row],[Период (№месяца)]]))/(1+$B$12*$B$10)</f>
        <v>49343.086723693195</v>
      </c>
      <c r="M67" s="5">
        <v>41</v>
      </c>
      <c r="N67" s="30">
        <f t="shared" si="5"/>
        <v>-1427.9135314400812</v>
      </c>
      <c r="O67" s="30">
        <f t="shared" si="6"/>
        <v>-1427.913531440078</v>
      </c>
      <c r="P67" s="30">
        <f>Табл1[[#This Row],[Тело кредита]]-O67</f>
        <v>-2.2737367544323206E-12</v>
      </c>
    </row>
    <row r="68" spans="1:16" x14ac:dyDescent="0.25">
      <c r="A68" s="3">
        <f>IF(ROW()-ROW(Табл1[[#Headers],[Период (№месяца)]])&gt;$B$11,0,ROW()-ROW(Табл1[[#Headers],[Период (№месяца)]]))</f>
        <v>42</v>
      </c>
      <c r="B68" s="4">
        <f>$B$5+SUM($D$26:D67)</f>
        <v>49343.086723692897</v>
      </c>
      <c r="C68" s="4">
        <f t="shared" si="7"/>
        <v>-1851.005200232855</v>
      </c>
      <c r="D68" s="4">
        <f t="shared" si="8"/>
        <v>-1439.8128108687474</v>
      </c>
      <c r="E68" s="4">
        <f t="shared" si="9"/>
        <v>-411.1923893641075</v>
      </c>
      <c r="F68" s="4">
        <f>SUM($D$27:D68)</f>
        <v>-52096.726087175848</v>
      </c>
      <c r="G68" s="4">
        <f>Табл1[[#This Row],[Баланс на начало периода]]+Табл1[[#This Row],[Тело кредита]]</f>
        <v>47903.273912824152</v>
      </c>
      <c r="H68" s="20">
        <f>PV($B$10,$B$11-Табл1[[#This Row],[Период (№месяца)]]+1,$B$13,$B$6,$B$12)/IF(Табл1[[#This Row],[Период (№месяца)]]=1,1,1+$B$12*$B$10)</f>
        <v>49343.086723692795</v>
      </c>
      <c r="I68" s="4">
        <f>-FV($B$10,Табл1[[#This Row],[Период (№месяца)]],$B$13,$B$5,$B$12)/(1+$B$12*$B$10)</f>
        <v>47903.273912824421</v>
      </c>
      <c r="J6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49343.086723692802</v>
      </c>
      <c r="K68" s="4">
        <f>-($B$13*(1+$B$10*$B$12)*(1-(1+$B$10)^Табл1[[#This Row],[Период (№месяца)]])/$B$10-$B$5*((1+$B$10)^Табл1[[#This Row],[Период (№месяца)]]))/(1+$B$12*$B$10)</f>
        <v>47903.273912824421</v>
      </c>
      <c r="M68" s="5">
        <v>42</v>
      </c>
      <c r="N68" s="30">
        <f t="shared" si="5"/>
        <v>-1439.8128108687483</v>
      </c>
      <c r="O68" s="30">
        <f t="shared" si="6"/>
        <v>-1439.8128108687451</v>
      </c>
      <c r="P68" s="30">
        <f>Табл1[[#This Row],[Тело кредита]]-O68</f>
        <v>-2.2737367544323206E-12</v>
      </c>
    </row>
    <row r="69" spans="1:16" x14ac:dyDescent="0.25">
      <c r="A69" s="3">
        <f>IF(ROW()-ROW(Табл1[[#Headers],[Период (№месяца)]])&gt;$B$11,0,ROW()-ROW(Табл1[[#Headers],[Период (№месяца)]]))</f>
        <v>43</v>
      </c>
      <c r="B69" s="4">
        <f>$B$5+SUM($D$26:D68)</f>
        <v>47903.273912824152</v>
      </c>
      <c r="C69" s="4">
        <f t="shared" si="7"/>
        <v>-1851.005200232855</v>
      </c>
      <c r="D69" s="4">
        <f t="shared" si="8"/>
        <v>-1451.8112509593202</v>
      </c>
      <c r="E69" s="4">
        <f t="shared" si="9"/>
        <v>-399.19394927353466</v>
      </c>
      <c r="F69" s="4">
        <f>SUM($D$27:D69)</f>
        <v>-53548.537338135167</v>
      </c>
      <c r="G69" s="4">
        <f>Табл1[[#This Row],[Баланс на начало периода]]+Табл1[[#This Row],[Тело кредита]]</f>
        <v>46451.462661864833</v>
      </c>
      <c r="H69" s="20">
        <f>PV($B$10,$B$11-Табл1[[#This Row],[Период (№месяца)]]+1,$B$13,$B$6,$B$12)/IF(Табл1[[#This Row],[Период (№месяца)]]=1,1,1+$B$12*$B$10)</f>
        <v>47903.273912824065</v>
      </c>
      <c r="I69" s="4">
        <f>-FV($B$10,Табл1[[#This Row],[Период (№месяца)]],$B$13,$B$5,$B$12)/(1+$B$12*$B$10)</f>
        <v>46451.462661865138</v>
      </c>
      <c r="J6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47903.273912824057</v>
      </c>
      <c r="K69" s="4">
        <f>-($B$13*(1+$B$10*$B$12)*(1-(1+$B$10)^Табл1[[#This Row],[Период (№месяца)]])/$B$10-$B$5*((1+$B$10)^Табл1[[#This Row],[Период (№месяца)]]))/(1+$B$12*$B$10)</f>
        <v>46451.462661865138</v>
      </c>
      <c r="M69" s="5">
        <v>43</v>
      </c>
      <c r="N69" s="30">
        <f t="shared" si="5"/>
        <v>-1451.8112509593211</v>
      </c>
      <c r="O69" s="30">
        <f t="shared" si="6"/>
        <v>-1451.8112509593182</v>
      </c>
      <c r="P69" s="30">
        <f>Табл1[[#This Row],[Тело кредита]]-O69</f>
        <v>-2.0463630789890885E-12</v>
      </c>
    </row>
    <row r="70" spans="1:16" x14ac:dyDescent="0.25">
      <c r="A70" s="3">
        <f>IF(ROW()-ROW(Табл1[[#Headers],[Период (№месяца)]])&gt;$B$11,0,ROW()-ROW(Табл1[[#Headers],[Период (№месяца)]]))</f>
        <v>44</v>
      </c>
      <c r="B70" s="4">
        <f>$B$5+SUM($D$26:D69)</f>
        <v>46451.462661864833</v>
      </c>
      <c r="C70" s="4">
        <f t="shared" si="7"/>
        <v>-1851.005200232855</v>
      </c>
      <c r="D70" s="4">
        <f t="shared" si="8"/>
        <v>-1463.9096780506482</v>
      </c>
      <c r="E70" s="4">
        <f t="shared" si="9"/>
        <v>-387.09552218220693</v>
      </c>
      <c r="F70" s="4">
        <f>SUM($D$27:D70)</f>
        <v>-55012.447016185819</v>
      </c>
      <c r="G70" s="4">
        <f>Табл1[[#This Row],[Баланс на начало периода]]+Табл1[[#This Row],[Тело кредита]]</f>
        <v>44987.552983814181</v>
      </c>
      <c r="H70" s="20">
        <f>PV($B$10,$B$11-Табл1[[#This Row],[Период (№месяца)]]+1,$B$13,$B$6,$B$12)/IF(Табл1[[#This Row],[Период (№месяца)]]=1,1,1+$B$12*$B$10)</f>
        <v>46451.462661864716</v>
      </c>
      <c r="I70" s="4">
        <f>-FV($B$10,Табл1[[#This Row],[Период (№месяца)]],$B$13,$B$5,$B$12)/(1+$B$12*$B$10)</f>
        <v>44987.552983814479</v>
      </c>
      <c r="J7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46451.462661864723</v>
      </c>
      <c r="K70" s="4">
        <f>-($B$13*(1+$B$10*$B$12)*(1-(1+$B$10)^Табл1[[#This Row],[Период (№месяца)]])/$B$10-$B$5*((1+$B$10)^Табл1[[#This Row],[Период (№месяца)]]))/(1+$B$12*$B$10)</f>
        <v>44987.552983814465</v>
      </c>
      <c r="M70" s="5">
        <v>44</v>
      </c>
      <c r="N70" s="30">
        <f t="shared" si="5"/>
        <v>-1463.9096780506491</v>
      </c>
      <c r="O70" s="30">
        <f t="shared" si="6"/>
        <v>-1463.9096780506454</v>
      </c>
      <c r="P70" s="30">
        <f>Табл1[[#This Row],[Тело кредита]]-O70</f>
        <v>-2.7284841053187847E-12</v>
      </c>
    </row>
    <row r="71" spans="1:16" x14ac:dyDescent="0.25">
      <c r="A71" s="3">
        <f>IF(ROW()-ROW(Табл1[[#Headers],[Период (№месяца)]])&gt;$B$11,0,ROW()-ROW(Табл1[[#Headers],[Период (№месяца)]]))</f>
        <v>45</v>
      </c>
      <c r="B71" s="4">
        <f>$B$5+SUM($D$26:D70)</f>
        <v>44987.552983814181</v>
      </c>
      <c r="C71" s="4">
        <f t="shared" si="7"/>
        <v>-1851.005200232855</v>
      </c>
      <c r="D71" s="4">
        <f t="shared" si="8"/>
        <v>-1476.1089253677369</v>
      </c>
      <c r="E71" s="4">
        <f t="shared" si="9"/>
        <v>-374.89627486511824</v>
      </c>
      <c r="F71" s="4">
        <f>SUM($D$27:D71)</f>
        <v>-56488.555941553554</v>
      </c>
      <c r="G71" s="4">
        <f>Табл1[[#This Row],[Баланс на начало периода]]+Табл1[[#This Row],[Тело кредита]]</f>
        <v>43511.444058446446</v>
      </c>
      <c r="H71" s="20">
        <f>PV($B$10,$B$11-Табл1[[#This Row],[Период (№месяца)]]+1,$B$13,$B$6,$B$12)/IF(Табл1[[#This Row],[Период (№месяца)]]=1,1,1+$B$12*$B$10)</f>
        <v>44987.552983814079</v>
      </c>
      <c r="I71" s="4">
        <f>-FV($B$10,Табл1[[#This Row],[Период (№месяца)]],$B$13,$B$5,$B$12)/(1+$B$12*$B$10)</f>
        <v>43511.444058446788</v>
      </c>
      <c r="J7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44987.552983814101</v>
      </c>
      <c r="K71" s="4">
        <f>-($B$13*(1+$B$10*$B$12)*(1-(1+$B$10)^Табл1[[#This Row],[Период (№месяца)]])/$B$10-$B$5*((1+$B$10)^Табл1[[#This Row],[Период (№месяца)]]))/(1+$B$12*$B$10)</f>
        <v>43511.444058446774</v>
      </c>
      <c r="M71" s="5">
        <v>45</v>
      </c>
      <c r="N71" s="30">
        <f t="shared" si="5"/>
        <v>-1476.1089253677376</v>
      </c>
      <c r="O71" s="30">
        <f t="shared" si="6"/>
        <v>-1476.1089253677344</v>
      </c>
      <c r="P71" s="30">
        <f>Табл1[[#This Row],[Тело кредита]]-O71</f>
        <v>-2.5011104298755527E-12</v>
      </c>
    </row>
    <row r="72" spans="1:16" x14ac:dyDescent="0.25">
      <c r="A72" s="3">
        <f>IF(ROW()-ROW(Табл1[[#Headers],[Период (№месяца)]])&gt;$B$11,0,ROW()-ROW(Табл1[[#Headers],[Период (№месяца)]]))</f>
        <v>46</v>
      </c>
      <c r="B72" s="4">
        <f>$B$5+SUM($D$26:D71)</f>
        <v>43511.444058446446</v>
      </c>
      <c r="C72" s="4">
        <f t="shared" si="7"/>
        <v>-1851.005200232855</v>
      </c>
      <c r="D72" s="4">
        <f t="shared" si="8"/>
        <v>-1488.4098330791344</v>
      </c>
      <c r="E72" s="4">
        <f t="shared" si="9"/>
        <v>-362.59536715372047</v>
      </c>
      <c r="F72" s="4">
        <f>SUM($D$27:D72)</f>
        <v>-57976.965774632685</v>
      </c>
      <c r="G72" s="4">
        <f>Табл1[[#This Row],[Баланс на начало периода]]+Табл1[[#This Row],[Тело кредита]]</f>
        <v>42023.034225367315</v>
      </c>
      <c r="H72" s="20">
        <f>PV($B$10,$B$11-Табл1[[#This Row],[Период (№месяца)]]+1,$B$13,$B$6,$B$12)/IF(Табл1[[#This Row],[Период (№месяца)]]=1,1,1+$B$12*$B$10)</f>
        <v>43511.444058446352</v>
      </c>
      <c r="I72" s="4">
        <f>-FV($B$10,Табл1[[#This Row],[Период (№месяца)]],$B$13,$B$5,$B$12)/(1+$B$12*$B$10)</f>
        <v>42023.034225367592</v>
      </c>
      <c r="J7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43511.444058446337</v>
      </c>
      <c r="K72" s="4">
        <f>-($B$13*(1+$B$10*$B$12)*(1-(1+$B$10)^Табл1[[#This Row],[Период (№месяца)]])/$B$10-$B$5*((1+$B$10)^Табл1[[#This Row],[Период (№месяца)]]))/(1+$B$12*$B$10)</f>
        <v>42023.034225367592</v>
      </c>
      <c r="M72" s="5">
        <v>46</v>
      </c>
      <c r="N72" s="30">
        <f t="shared" si="5"/>
        <v>-1488.4098330791355</v>
      </c>
      <c r="O72" s="30">
        <f t="shared" si="6"/>
        <v>-1488.4098330791317</v>
      </c>
      <c r="P72" s="30">
        <f>Табл1[[#This Row],[Тело кредита]]-O72</f>
        <v>-2.7284841053187847E-12</v>
      </c>
    </row>
    <row r="73" spans="1:16" x14ac:dyDescent="0.25">
      <c r="A73" s="3">
        <f>IF(ROW()-ROW(Табл1[[#Headers],[Период (№месяца)]])&gt;$B$11,0,ROW()-ROW(Табл1[[#Headers],[Период (№месяца)]]))</f>
        <v>47</v>
      </c>
      <c r="B73" s="4">
        <f>$B$5+SUM($D$26:D72)</f>
        <v>42023.034225367315</v>
      </c>
      <c r="C73" s="4">
        <f t="shared" si="7"/>
        <v>-1851.005200232855</v>
      </c>
      <c r="D73" s="4">
        <f t="shared" si="8"/>
        <v>-1500.813248354794</v>
      </c>
      <c r="E73" s="4">
        <f t="shared" si="9"/>
        <v>-350.19195187806099</v>
      </c>
      <c r="F73" s="4">
        <f>SUM($D$27:D73)</f>
        <v>-59477.779022987481</v>
      </c>
      <c r="G73" s="4">
        <f>Табл1[[#This Row],[Баланс на начало периода]]+Табл1[[#This Row],[Тело кредита]]</f>
        <v>40522.220977012519</v>
      </c>
      <c r="H73" s="20">
        <f>PV($B$10,$B$11-Табл1[[#This Row],[Период (№месяца)]]+1,$B$13,$B$6,$B$12)/IF(Табл1[[#This Row],[Период (№месяца)]]=1,1,1+$B$12*$B$10)</f>
        <v>42023.034225367221</v>
      </c>
      <c r="I73" s="4">
        <f>-FV($B$10,Табл1[[#This Row],[Период (№месяца)]],$B$13,$B$5,$B$12)/(1+$B$12*$B$10)</f>
        <v>40522.220977012847</v>
      </c>
      <c r="J7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42023.034225367221</v>
      </c>
      <c r="K73" s="4">
        <f>-($B$13*(1+$B$10*$B$12)*(1-(1+$B$10)^Табл1[[#This Row],[Период (№месяца)]])/$B$10-$B$5*((1+$B$10)^Табл1[[#This Row],[Период (№месяца)]]))/(1+$B$12*$B$10)</f>
        <v>40522.220977012861</v>
      </c>
      <c r="M73" s="5">
        <v>47</v>
      </c>
      <c r="N73" s="30">
        <f t="shared" si="5"/>
        <v>-1500.813248354795</v>
      </c>
      <c r="O73" s="30">
        <f t="shared" si="6"/>
        <v>-1500.8132483547913</v>
      </c>
      <c r="P73" s="30">
        <f>Табл1[[#This Row],[Тело кредита]]-O73</f>
        <v>-2.7284841053187847E-12</v>
      </c>
    </row>
    <row r="74" spans="1:16" x14ac:dyDescent="0.25">
      <c r="A74" s="3">
        <f>IF(ROW()-ROW(Табл1[[#Headers],[Период (№месяца)]])&gt;$B$11,0,ROW()-ROW(Табл1[[#Headers],[Период (№месяца)]]))</f>
        <v>48</v>
      </c>
      <c r="B74" s="4">
        <f>$B$5+SUM($D$26:D73)</f>
        <v>40522.220977012519</v>
      </c>
      <c r="C74" s="4">
        <f t="shared" si="7"/>
        <v>-1851.005200232855</v>
      </c>
      <c r="D74" s="4">
        <f t="shared" si="8"/>
        <v>-1513.3200254244173</v>
      </c>
      <c r="E74" s="4">
        <f t="shared" si="9"/>
        <v>-337.68517480843769</v>
      </c>
      <c r="F74" s="4">
        <f>SUM($D$27:D74)</f>
        <v>-60991.099048411896</v>
      </c>
      <c r="G74" s="4">
        <f>Табл1[[#This Row],[Баланс на начало периода]]+Табл1[[#This Row],[Тело кредита]]</f>
        <v>39008.900951588104</v>
      </c>
      <c r="H74" s="20">
        <f>PV($B$10,$B$11-Табл1[[#This Row],[Период (№месяца)]]+1,$B$13,$B$6,$B$12)/IF(Табл1[[#This Row],[Период (№месяца)]]=1,1,1+$B$12*$B$10)</f>
        <v>40522.220977012417</v>
      </c>
      <c r="I74" s="4">
        <f>-FV($B$10,Табл1[[#This Row],[Период (№месяца)]],$B$13,$B$5,$B$12)/(1+$B$12*$B$10)</f>
        <v>39008.900951588432</v>
      </c>
      <c r="J7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40522.22097701241</v>
      </c>
      <c r="K74" s="4">
        <f>-($B$13*(1+$B$10*$B$12)*(1-(1+$B$10)^Табл1[[#This Row],[Период (№месяца)]])/$B$10-$B$5*((1+$B$10)^Табл1[[#This Row],[Период (№месяца)]]))/(1+$B$12*$B$10)</f>
        <v>39008.900951588432</v>
      </c>
      <c r="M74" s="5">
        <v>48</v>
      </c>
      <c r="N74" s="30">
        <f t="shared" si="5"/>
        <v>-1513.3200254244182</v>
      </c>
      <c r="O74" s="30">
        <f t="shared" si="6"/>
        <v>-1513.3200254244146</v>
      </c>
      <c r="P74" s="30">
        <f>Табл1[[#This Row],[Тело кредита]]-O74</f>
        <v>-2.7284841053187847E-12</v>
      </c>
    </row>
    <row r="75" spans="1:16" x14ac:dyDescent="0.25">
      <c r="A75" s="3">
        <f>IF(ROW()-ROW(Табл1[[#Headers],[Период (№месяца)]])&gt;$B$11,0,ROW()-ROW(Табл1[[#Headers],[Период (№месяца)]]))</f>
        <v>49</v>
      </c>
      <c r="B75" s="4">
        <f>$B$5+SUM($D$26:D74)</f>
        <v>39008.900951588104</v>
      </c>
      <c r="C75" s="4">
        <f t="shared" si="7"/>
        <v>-1851.005200232855</v>
      </c>
      <c r="D75" s="4">
        <f t="shared" si="8"/>
        <v>-1525.9310256362874</v>
      </c>
      <c r="E75" s="4">
        <f t="shared" si="9"/>
        <v>-325.0741745965675</v>
      </c>
      <c r="F75" s="4">
        <f>SUM($D$27:D75)</f>
        <v>-62517.030074048183</v>
      </c>
      <c r="G75" s="4">
        <f>Табл1[[#This Row],[Баланс на начало периода]]+Табл1[[#This Row],[Тело кредита]]</f>
        <v>37482.969925951817</v>
      </c>
      <c r="H75" s="20">
        <f>PV($B$10,$B$11-Табл1[[#This Row],[Период (№месяца)]]+1,$B$13,$B$6,$B$12)/IF(Табл1[[#This Row],[Период (№месяца)]]=1,1,1+$B$12*$B$10)</f>
        <v>39008.900951588039</v>
      </c>
      <c r="I75" s="4">
        <f>-FV($B$10,Табл1[[#This Row],[Период (№месяца)]],$B$13,$B$5,$B$12)/(1+$B$12*$B$10)</f>
        <v>37482.969925952144</v>
      </c>
      <c r="J7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39008.900951588046</v>
      </c>
      <c r="K75" s="4">
        <f>-($B$13*(1+$B$10*$B$12)*(1-(1+$B$10)^Табл1[[#This Row],[Период (№месяца)]])/$B$10-$B$5*((1+$B$10)^Табл1[[#This Row],[Период (№месяца)]]))/(1+$B$12*$B$10)</f>
        <v>37482.969925952129</v>
      </c>
      <c r="M75" s="5">
        <v>49</v>
      </c>
      <c r="N75" s="30">
        <f t="shared" si="5"/>
        <v>-1525.9310256362878</v>
      </c>
      <c r="O75" s="30">
        <f t="shared" si="6"/>
        <v>-1525.9310256362846</v>
      </c>
      <c r="P75" s="30">
        <f>Табл1[[#This Row],[Тело кредита]]-O75</f>
        <v>-2.7284841053187847E-12</v>
      </c>
    </row>
    <row r="76" spans="1:16" x14ac:dyDescent="0.25">
      <c r="A76" s="3">
        <f>IF(ROW()-ROW(Табл1[[#Headers],[Период (№месяца)]])&gt;$B$11,0,ROW()-ROW(Табл1[[#Headers],[Период (№месяца)]]))</f>
        <v>50</v>
      </c>
      <c r="B76" s="4">
        <f>$B$5+SUM($D$26:D75)</f>
        <v>37482.969925951817</v>
      </c>
      <c r="C76" s="4">
        <f t="shared" si="7"/>
        <v>-1851.005200232855</v>
      </c>
      <c r="D76" s="4">
        <f t="shared" si="8"/>
        <v>-1538.6471175165898</v>
      </c>
      <c r="E76" s="4">
        <f t="shared" si="9"/>
        <v>-312.35808271626507</v>
      </c>
      <c r="F76" s="4">
        <f>SUM($D$27:D76)</f>
        <v>-64055.67719156477</v>
      </c>
      <c r="G76" s="4">
        <f>Табл1[[#This Row],[Баланс на начало периода]]+Табл1[[#This Row],[Тело кредита]]</f>
        <v>35944.32280843523</v>
      </c>
      <c r="H76" s="20">
        <f>PV($B$10,$B$11-Табл1[[#This Row],[Период (№месяца)]]+1,$B$13,$B$6,$B$12)/IF(Табл1[[#This Row],[Период (№месяца)]]=1,1,1+$B$12*$B$10)</f>
        <v>37482.969925951729</v>
      </c>
      <c r="I76" s="4">
        <f>-FV($B$10,Табл1[[#This Row],[Период (№месяца)]],$B$13,$B$5,$B$12)/(1+$B$12*$B$10)</f>
        <v>35944.322808435543</v>
      </c>
      <c r="J7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37482.969925951722</v>
      </c>
      <c r="K76" s="4">
        <f>-($B$13*(1+$B$10*$B$12)*(1-(1+$B$10)^Табл1[[#This Row],[Период (№месяца)]])/$B$10-$B$5*((1+$B$10)^Табл1[[#This Row],[Период (№месяца)]]))/(1+$B$12*$B$10)</f>
        <v>35944.322808435543</v>
      </c>
      <c r="M76" s="5">
        <v>50</v>
      </c>
      <c r="N76" s="30">
        <f t="shared" si="5"/>
        <v>-1538.6471175165907</v>
      </c>
      <c r="O76" s="30">
        <f t="shared" si="6"/>
        <v>-1538.6471175165868</v>
      </c>
      <c r="P76" s="30">
        <f>Табл1[[#This Row],[Тело кредита]]-O76</f>
        <v>-2.9558577807620168E-12</v>
      </c>
    </row>
    <row r="77" spans="1:16" x14ac:dyDescent="0.25">
      <c r="A77" s="3">
        <f>IF(ROW()-ROW(Табл1[[#Headers],[Период (№месяца)]])&gt;$B$11,0,ROW()-ROW(Табл1[[#Headers],[Период (№месяца)]]))</f>
        <v>51</v>
      </c>
      <c r="B77" s="4">
        <f>$B$5+SUM($D$26:D76)</f>
        <v>35944.32280843523</v>
      </c>
      <c r="C77" s="4">
        <f t="shared" si="7"/>
        <v>-1851.005200232855</v>
      </c>
      <c r="D77" s="4">
        <f t="shared" si="8"/>
        <v>-1551.469176829228</v>
      </c>
      <c r="E77" s="4">
        <f t="shared" si="9"/>
        <v>-299.53602340362693</v>
      </c>
      <c r="F77" s="4">
        <f>SUM($D$27:D77)</f>
        <v>-65607.146368393995</v>
      </c>
      <c r="G77" s="4">
        <f>Табл1[[#This Row],[Баланс на начало периода]]+Табл1[[#This Row],[Тело кредита]]</f>
        <v>34392.853631606005</v>
      </c>
      <c r="H77" s="20">
        <f>PV($B$10,$B$11-Табл1[[#This Row],[Период (№месяца)]]+1,$B$13,$B$6,$B$12)/IF(Табл1[[#This Row],[Период (№месяца)]]=1,1,1+$B$12*$B$10)</f>
        <v>35944.322808435165</v>
      </c>
      <c r="I77" s="4">
        <f>-FV($B$10,Табл1[[#This Row],[Период (№месяца)]],$B$13,$B$5,$B$12)/(1+$B$12*$B$10)</f>
        <v>34392.853631606311</v>
      </c>
      <c r="J77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35944.322808435165</v>
      </c>
      <c r="K77" s="4">
        <f>-($B$13*(1+$B$10*$B$12)*(1-(1+$B$10)^Табл1[[#This Row],[Период (№месяца)]])/$B$10-$B$5*((1+$B$10)^Табл1[[#This Row],[Период (№месяца)]]))/(1+$B$12*$B$10)</f>
        <v>34392.853631606311</v>
      </c>
      <c r="M77" s="5">
        <v>51</v>
      </c>
      <c r="N77" s="30">
        <f t="shared" si="5"/>
        <v>-1551.4691768292287</v>
      </c>
      <c r="O77" s="30">
        <f t="shared" si="6"/>
        <v>-1551.4691768292253</v>
      </c>
      <c r="P77" s="30">
        <f>Табл1[[#This Row],[Тело кредита]]-O77</f>
        <v>-2.7284841053187847E-12</v>
      </c>
    </row>
    <row r="78" spans="1:16" x14ac:dyDescent="0.25">
      <c r="A78" s="3">
        <f>IF(ROW()-ROW(Табл1[[#Headers],[Период (№месяца)]])&gt;$B$11,0,ROW()-ROW(Табл1[[#Headers],[Период (№месяца)]]))</f>
        <v>52</v>
      </c>
      <c r="B78" s="4">
        <f>$B$5+SUM($D$26:D77)</f>
        <v>34392.853631606005</v>
      </c>
      <c r="C78" s="4">
        <f t="shared" si="7"/>
        <v>-1851.005200232855</v>
      </c>
      <c r="D78" s="4">
        <f t="shared" si="8"/>
        <v>-1564.3980866361385</v>
      </c>
      <c r="E78" s="4">
        <f t="shared" si="9"/>
        <v>-286.60711359671666</v>
      </c>
      <c r="F78" s="4">
        <f>SUM($D$27:D78)</f>
        <v>-67171.544455030133</v>
      </c>
      <c r="G78" s="4">
        <f>Табл1[[#This Row],[Баланс на начало периода]]+Табл1[[#This Row],[Тело кредита]]</f>
        <v>32828.455544969867</v>
      </c>
      <c r="H78" s="20">
        <f>PV($B$10,$B$11-Табл1[[#This Row],[Период (№месяца)]]+1,$B$13,$B$6,$B$12)/IF(Табл1[[#This Row],[Период (№месяца)]]=1,1,1+$B$12*$B$10)</f>
        <v>34392.853631605925</v>
      </c>
      <c r="I78" s="4">
        <f>-FV($B$10,Табл1[[#This Row],[Период (№месяца)]],$B$13,$B$5,$B$12)/(1+$B$12*$B$10)</f>
        <v>32828.455544970231</v>
      </c>
      <c r="J78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34392.853631605933</v>
      </c>
      <c r="K78" s="4">
        <f>-($B$13*(1+$B$10*$B$12)*(1-(1+$B$10)^Табл1[[#This Row],[Период (№месяца)]])/$B$10-$B$5*((1+$B$10)^Табл1[[#This Row],[Период (№месяца)]]))/(1+$B$12*$B$10)</f>
        <v>32828.455544970246</v>
      </c>
      <c r="M78" s="5">
        <v>52</v>
      </c>
      <c r="N78" s="30">
        <f t="shared" si="5"/>
        <v>-1564.3980866361389</v>
      </c>
      <c r="O78" s="30">
        <f t="shared" si="6"/>
        <v>-1564.3980866361355</v>
      </c>
      <c r="P78" s="30">
        <f>Табл1[[#This Row],[Тело кредита]]-O78</f>
        <v>-2.9558577807620168E-12</v>
      </c>
    </row>
    <row r="79" spans="1:16" x14ac:dyDescent="0.25">
      <c r="A79" s="3">
        <f>IF(ROW()-ROW(Табл1[[#Headers],[Период (№месяца)]])&gt;$B$11,0,ROW()-ROW(Табл1[[#Headers],[Период (№месяца)]]))</f>
        <v>53</v>
      </c>
      <c r="B79" s="4">
        <f>$B$5+SUM($D$26:D78)</f>
        <v>32828.455544969867</v>
      </c>
      <c r="C79" s="4">
        <f t="shared" si="7"/>
        <v>-1851.005200232855</v>
      </c>
      <c r="D79" s="4">
        <f t="shared" si="8"/>
        <v>-1577.4347373581058</v>
      </c>
      <c r="E79" s="4">
        <f t="shared" si="9"/>
        <v>-273.57046287474884</v>
      </c>
      <c r="F79" s="4">
        <f>SUM($D$27:D79)</f>
        <v>-68748.979192388244</v>
      </c>
      <c r="G79" s="4">
        <f>Табл1[[#This Row],[Баланс на начало периода]]+Табл1[[#This Row],[Тело кредита]]</f>
        <v>31251.020807611763</v>
      </c>
      <c r="H79" s="20">
        <f>PV($B$10,$B$11-Табл1[[#This Row],[Период (№месяца)]]+1,$B$13,$B$6,$B$12)/IF(Табл1[[#This Row],[Период (№месяца)]]=1,1,1+$B$12*$B$10)</f>
        <v>32828.455544969809</v>
      </c>
      <c r="I79" s="4">
        <f>-FV($B$10,Табл1[[#This Row],[Период (№месяца)]],$B$13,$B$5,$B$12)/(1+$B$12*$B$10)</f>
        <v>31251.020807612134</v>
      </c>
      <c r="J79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32828.455544969809</v>
      </c>
      <c r="K79" s="4">
        <f>-($B$13*(1+$B$10*$B$12)*(1-(1+$B$10)^Табл1[[#This Row],[Период (№месяца)]])/$B$10-$B$5*((1+$B$10)^Табл1[[#This Row],[Период (№месяца)]]))/(1+$B$12*$B$10)</f>
        <v>31251.020807612134</v>
      </c>
      <c r="M79" s="5">
        <v>53</v>
      </c>
      <c r="N79" s="30">
        <f t="shared" si="5"/>
        <v>-1577.4347373581065</v>
      </c>
      <c r="O79" s="30">
        <f t="shared" si="6"/>
        <v>-1577.4347373581029</v>
      </c>
      <c r="P79" s="30">
        <f>Табл1[[#This Row],[Тело кредита]]-O79</f>
        <v>-2.9558577807620168E-12</v>
      </c>
    </row>
    <row r="80" spans="1:16" x14ac:dyDescent="0.25">
      <c r="A80" s="3">
        <f>IF(ROW()-ROW(Табл1[[#Headers],[Период (№месяца)]])&gt;$B$11,0,ROW()-ROW(Табл1[[#Headers],[Период (№месяца)]]))</f>
        <v>54</v>
      </c>
      <c r="B80" s="4">
        <f>$B$5+SUM($D$26:D79)</f>
        <v>31251.020807611756</v>
      </c>
      <c r="C80" s="4">
        <f t="shared" si="7"/>
        <v>-1851.005200232855</v>
      </c>
      <c r="D80" s="4">
        <f t="shared" si="8"/>
        <v>-1590.5800268360904</v>
      </c>
      <c r="E80" s="4">
        <f t="shared" si="9"/>
        <v>-260.42517339676459</v>
      </c>
      <c r="F80" s="4">
        <f>SUM($D$27:D80)</f>
        <v>-70339.559219224335</v>
      </c>
      <c r="G80" s="4">
        <f>Табл1[[#This Row],[Баланс на начало периода]]+Табл1[[#This Row],[Тело кредита]]</f>
        <v>29660.440780775665</v>
      </c>
      <c r="H80" s="20">
        <f>PV($B$10,$B$11-Табл1[[#This Row],[Период (№месяца)]]+1,$B$13,$B$6,$B$12)/IF(Табл1[[#This Row],[Период (№месяца)]]=1,1,1+$B$12*$B$10)</f>
        <v>31251.02080761168</v>
      </c>
      <c r="I80" s="4">
        <f>-FV($B$10,Табл1[[#This Row],[Период (№месяца)]],$B$13,$B$5,$B$12)/(1+$B$12*$B$10)</f>
        <v>29660.440780776025</v>
      </c>
      <c r="J80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31251.020807611694</v>
      </c>
      <c r="K80" s="4">
        <f>-($B$13*(1+$B$10*$B$12)*(1-(1+$B$10)^Табл1[[#This Row],[Период (№месяца)]])/$B$10-$B$5*((1+$B$10)^Табл1[[#This Row],[Период (№месяца)]]))/(1+$B$12*$B$10)</f>
        <v>29660.440780776011</v>
      </c>
      <c r="M80" s="5">
        <v>54</v>
      </c>
      <c r="N80" s="30">
        <f t="shared" si="5"/>
        <v>-1590.5800268360908</v>
      </c>
      <c r="O80" s="30">
        <f t="shared" si="6"/>
        <v>-1590.580026836087</v>
      </c>
      <c r="P80" s="30">
        <f>Табл1[[#This Row],[Тело кредита]]-O80</f>
        <v>-3.4106051316484809E-12</v>
      </c>
    </row>
    <row r="81" spans="1:16" x14ac:dyDescent="0.25">
      <c r="A81" s="3">
        <f>IF(ROW()-ROW(Табл1[[#Headers],[Период (№месяца)]])&gt;$B$11,0,ROW()-ROW(Табл1[[#Headers],[Период (№месяца)]]))</f>
        <v>55</v>
      </c>
      <c r="B81" s="4">
        <f>$B$5+SUM($D$26:D80)</f>
        <v>29660.440780775665</v>
      </c>
      <c r="C81" s="4">
        <f t="shared" si="7"/>
        <v>-1851.005200232855</v>
      </c>
      <c r="D81" s="4">
        <f t="shared" si="8"/>
        <v>-1603.8348603930576</v>
      </c>
      <c r="E81" s="4">
        <f t="shared" si="9"/>
        <v>-247.17033983979721</v>
      </c>
      <c r="F81" s="4">
        <f>SUM($D$27:D81)</f>
        <v>-71943.394079617399</v>
      </c>
      <c r="G81" s="4">
        <f>Табл1[[#This Row],[Баланс на начало периода]]+Табл1[[#This Row],[Тело кредита]]</f>
        <v>28056.605920382608</v>
      </c>
      <c r="H81" s="20">
        <f>PV($B$10,$B$11-Табл1[[#This Row],[Период (№месяца)]]+1,$B$13,$B$6,$B$12)/IF(Табл1[[#This Row],[Период (№месяца)]]=1,1,1+$B$12*$B$10)</f>
        <v>29660.440780775629</v>
      </c>
      <c r="I81" s="4">
        <f>-FV($B$10,Табл1[[#This Row],[Период (№месяца)]],$B$13,$B$5,$B$12)/(1+$B$12*$B$10)</f>
        <v>28056.605920383001</v>
      </c>
      <c r="J81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29660.440780775622</v>
      </c>
      <c r="K81" s="4">
        <f>-($B$13*(1+$B$10*$B$12)*(1-(1+$B$10)^Табл1[[#This Row],[Период (№месяца)]])/$B$10-$B$5*((1+$B$10)^Табл1[[#This Row],[Период (№месяца)]]))/(1+$B$12*$B$10)</f>
        <v>28056.605920383001</v>
      </c>
      <c r="M81" s="5">
        <v>55</v>
      </c>
      <c r="N81" s="30">
        <f t="shared" si="5"/>
        <v>-1603.8348603930581</v>
      </c>
      <c r="O81" s="30">
        <f t="shared" si="6"/>
        <v>-1603.8348603930547</v>
      </c>
      <c r="P81" s="30">
        <f>Табл1[[#This Row],[Тело кредита]]-O81</f>
        <v>-2.9558577807620168E-12</v>
      </c>
    </row>
    <row r="82" spans="1:16" x14ac:dyDescent="0.25">
      <c r="A82" s="3">
        <f>IF(ROW()-ROW(Табл1[[#Headers],[Период (№месяца)]])&gt;$B$11,0,ROW()-ROW(Табл1[[#Headers],[Период (№месяца)]]))</f>
        <v>56</v>
      </c>
      <c r="B82" s="4">
        <f>$B$5+SUM($D$26:D81)</f>
        <v>28056.605920382601</v>
      </c>
      <c r="C82" s="4">
        <f t="shared" si="7"/>
        <v>-1851.005200232855</v>
      </c>
      <c r="D82" s="4">
        <f t="shared" si="8"/>
        <v>-1617.2001508963333</v>
      </c>
      <c r="E82" s="4">
        <f t="shared" si="9"/>
        <v>-233.80504933652173</v>
      </c>
      <c r="F82" s="4">
        <f>SUM($D$27:D82)</f>
        <v>-73560.594230513729</v>
      </c>
      <c r="G82" s="4">
        <f>Табл1[[#This Row],[Баланс на начало периода]]+Табл1[[#This Row],[Тело кредита]]</f>
        <v>26439.405769486268</v>
      </c>
      <c r="H82" s="20">
        <f>PV($B$10,$B$11-Табл1[[#This Row],[Период (№месяца)]]+1,$B$13,$B$6,$B$12)/IF(Табл1[[#This Row],[Период (№месяца)]]=1,1,1+$B$12*$B$10)</f>
        <v>28056.605920382557</v>
      </c>
      <c r="I82" s="4">
        <f>-FV($B$10,Табл1[[#This Row],[Период (№месяца)]],$B$13,$B$5,$B$12)/(1+$B$12*$B$10)</f>
        <v>26439.405769486661</v>
      </c>
      <c r="J82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28056.605920382564</v>
      </c>
      <c r="K82" s="4">
        <f>-($B$13*(1+$B$10*$B$12)*(1-(1+$B$10)^Табл1[[#This Row],[Период (№месяца)]])/$B$10-$B$5*((1+$B$10)^Табл1[[#This Row],[Период (№месяца)]]))/(1+$B$12*$B$10)</f>
        <v>26439.40576948669</v>
      </c>
      <c r="M82" s="5">
        <v>56</v>
      </c>
      <c r="N82" s="30">
        <f t="shared" si="5"/>
        <v>-1617.2001508963335</v>
      </c>
      <c r="O82" s="30">
        <f t="shared" si="6"/>
        <v>-1617.2001508963299</v>
      </c>
      <c r="P82" s="30">
        <f>Табл1[[#This Row],[Тело кредита]]-O82</f>
        <v>-3.4106051316484809E-12</v>
      </c>
    </row>
    <row r="83" spans="1:16" x14ac:dyDescent="0.25">
      <c r="A83" s="3">
        <f>IF(ROW()-ROW(Табл1[[#Headers],[Период (№месяца)]])&gt;$B$11,0,ROW()-ROW(Табл1[[#Headers],[Период (№месяца)]]))</f>
        <v>57</v>
      </c>
      <c r="B83" s="4">
        <f>$B$5+SUM($D$26:D82)</f>
        <v>26439.405769486271</v>
      </c>
      <c r="C83" s="4">
        <f t="shared" si="7"/>
        <v>-1851.005200232855</v>
      </c>
      <c r="D83" s="4">
        <f t="shared" si="8"/>
        <v>-1630.6768188204692</v>
      </c>
      <c r="E83" s="4">
        <f t="shared" si="9"/>
        <v>-220.3283814123856</v>
      </c>
      <c r="F83" s="4">
        <f>SUM($D$27:D83)</f>
        <v>-75191.271049334202</v>
      </c>
      <c r="G83" s="4">
        <f>Табл1[[#This Row],[Баланс на начало периода]]+Табл1[[#This Row],[Тело кредита]]</f>
        <v>24808.728950665802</v>
      </c>
      <c r="H83" s="20">
        <f>PV($B$10,$B$11-Табл1[[#This Row],[Период (№месяца)]]+1,$B$13,$B$6,$B$12)/IF(Табл1[[#This Row],[Период (№месяца)]]=1,1,1+$B$12*$B$10)</f>
        <v>26439.405769486239</v>
      </c>
      <c r="I83" s="4">
        <f>-FV($B$10,Табл1[[#This Row],[Период (№месяца)]],$B$13,$B$5,$B$12)/(1+$B$12*$B$10)</f>
        <v>24808.728950666246</v>
      </c>
      <c r="J83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26439.405769486235</v>
      </c>
      <c r="K83" s="4">
        <f>-($B$13*(1+$B$10*$B$12)*(1-(1+$B$10)^Табл1[[#This Row],[Период (№месяца)]])/$B$10-$B$5*((1+$B$10)^Табл1[[#This Row],[Период (№месяца)]]))/(1+$B$12*$B$10)</f>
        <v>24808.728950666246</v>
      </c>
      <c r="M83" s="5">
        <v>57</v>
      </c>
      <c r="N83" s="30">
        <f t="shared" si="5"/>
        <v>-1630.6768188204696</v>
      </c>
      <c r="O83" s="30">
        <f t="shared" si="6"/>
        <v>-1630.6768188204658</v>
      </c>
      <c r="P83" s="30">
        <f>Табл1[[#This Row],[Тело кредита]]-O83</f>
        <v>-3.4106051316484809E-12</v>
      </c>
    </row>
    <row r="84" spans="1:16" x14ac:dyDescent="0.25">
      <c r="A84" s="3">
        <f>IF(ROW()-ROW(Табл1[[#Headers],[Период (№месяца)]])&gt;$B$11,0,ROW()-ROW(Табл1[[#Headers],[Период (№месяца)]]))</f>
        <v>58</v>
      </c>
      <c r="B84" s="4">
        <f>$B$5+SUM($D$26:D83)</f>
        <v>24808.728950665798</v>
      </c>
      <c r="C84" s="4">
        <f t="shared" si="7"/>
        <v>-1851.005200232855</v>
      </c>
      <c r="D84" s="4">
        <f t="shared" si="8"/>
        <v>-1644.2657923106399</v>
      </c>
      <c r="E84" s="4">
        <f t="shared" si="9"/>
        <v>-206.73940792221504</v>
      </c>
      <c r="F84" s="4">
        <f>SUM($D$27:D84)</f>
        <v>-76835.536841644847</v>
      </c>
      <c r="G84" s="4">
        <f>Табл1[[#This Row],[Баланс на начало периода]]+Табл1[[#This Row],[Тело кредита]]</f>
        <v>23164.46315835516</v>
      </c>
      <c r="H84" s="20">
        <f>PV($B$10,$B$11-Табл1[[#This Row],[Период (№месяца)]]+1,$B$13,$B$6,$B$12)/IF(Табл1[[#This Row],[Период (№месяца)]]=1,1,1+$B$12*$B$10)</f>
        <v>24808.72895066578</v>
      </c>
      <c r="I84" s="4">
        <f>-FV($B$10,Табл1[[#This Row],[Период (№месяца)]],$B$13,$B$5,$B$12)/(1+$B$12*$B$10)</f>
        <v>23164.463158355611</v>
      </c>
      <c r="J84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24808.728950665783</v>
      </c>
      <c r="K84" s="4">
        <f>-($B$13*(1+$B$10*$B$12)*(1-(1+$B$10)^Табл1[[#This Row],[Период (№месяца)]])/$B$10-$B$5*((1+$B$10)^Табл1[[#This Row],[Период (№месяца)]]))/(1+$B$12*$B$10)</f>
        <v>23164.463158355582</v>
      </c>
      <c r="M84" s="5">
        <v>58</v>
      </c>
      <c r="N84" s="30">
        <f t="shared" si="5"/>
        <v>-1644.2657923106401</v>
      </c>
      <c r="O84" s="30">
        <f t="shared" si="6"/>
        <v>-1644.2657923106362</v>
      </c>
      <c r="P84" s="30">
        <f>Табл1[[#This Row],[Тело кредита]]-O84</f>
        <v>-3.637978807091713E-12</v>
      </c>
    </row>
    <row r="85" spans="1:16" x14ac:dyDescent="0.25">
      <c r="A85" s="3">
        <f>IF(ROW()-ROW(Табл1[[#Headers],[Период (№месяца)]])&gt;$B$11,0,ROW()-ROW(Табл1[[#Headers],[Период (№месяца)]]))</f>
        <v>59</v>
      </c>
      <c r="B85" s="4">
        <f>$B$5+SUM($D$26:D84)</f>
        <v>23164.463158355153</v>
      </c>
      <c r="C85" s="4">
        <f t="shared" si="7"/>
        <v>-1851.005200232855</v>
      </c>
      <c r="D85" s="4">
        <f t="shared" si="8"/>
        <v>-1657.9680072465621</v>
      </c>
      <c r="E85" s="4">
        <f t="shared" si="9"/>
        <v>-193.03719298629304</v>
      </c>
      <c r="F85" s="4">
        <f>SUM($D$27:D85)</f>
        <v>-78493.504848891404</v>
      </c>
      <c r="G85" s="4">
        <f>Табл1[[#This Row],[Баланс на начало периода]]+Табл1[[#This Row],[Тело кредита]]</f>
        <v>21506.495151108589</v>
      </c>
      <c r="H85" s="20">
        <f>PV($B$10,$B$11-Табл1[[#This Row],[Период (№месяца)]]+1,$B$13,$B$6,$B$12)/IF(Табл1[[#This Row],[Период (№месяца)]]=1,1,1+$B$12*$B$10)</f>
        <v>23164.463158355153</v>
      </c>
      <c r="I85" s="4">
        <f>-FV($B$10,Табл1[[#This Row],[Период (№месяца)]],$B$13,$B$5,$B$12)/(1+$B$12*$B$10)</f>
        <v>21506.495151109011</v>
      </c>
      <c r="J85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23164.46315835516</v>
      </c>
      <c r="K85" s="4">
        <f>-($B$13*(1+$B$10*$B$12)*(1-(1+$B$10)^Табл1[[#This Row],[Период (№месяца)]])/$B$10-$B$5*((1+$B$10)^Табл1[[#This Row],[Период (№месяца)]]))/(1+$B$12*$B$10)</f>
        <v>21506.495151109011</v>
      </c>
      <c r="M85" s="5">
        <v>59</v>
      </c>
      <c r="N85" s="30">
        <f t="shared" si="5"/>
        <v>-1657.9680072465619</v>
      </c>
      <c r="O85" s="30">
        <f t="shared" si="6"/>
        <v>-1657.9680072465583</v>
      </c>
      <c r="P85" s="30">
        <f>Табл1[[#This Row],[Тело кредита]]-O85</f>
        <v>-3.865352482534945E-12</v>
      </c>
    </row>
    <row r="86" spans="1:16" x14ac:dyDescent="0.25">
      <c r="A86" s="3">
        <f>IF(ROW()-ROW(Табл1[[#Headers],[Период (№месяца)]])&gt;$B$11,0,ROW()-ROW(Табл1[[#Headers],[Период (№месяца)]]))</f>
        <v>60</v>
      </c>
      <c r="B86" s="4">
        <f>$B$5+SUM($D$26:D85)</f>
        <v>21506.495151108596</v>
      </c>
      <c r="C86" s="4">
        <f t="shared" si="7"/>
        <v>-1851.005200232855</v>
      </c>
      <c r="D86" s="4">
        <f t="shared" si="8"/>
        <v>-1671.7844073069498</v>
      </c>
      <c r="E86" s="4">
        <f t="shared" si="9"/>
        <v>-179.22079292590504</v>
      </c>
      <c r="F86" s="4">
        <f>SUM($D$27:D86)</f>
        <v>-80165.289256198346</v>
      </c>
      <c r="G86" s="4">
        <f>Табл1[[#This Row],[Баланс на начало периода]]+Табл1[[#This Row],[Тело кредита]]</f>
        <v>19834.710743801646</v>
      </c>
      <c r="H86" s="20">
        <f>PV($B$10,$B$11-Табл1[[#This Row],[Период (№месяца)]]+1,$B$13,$B$6,$B$12)/IF(Табл1[[#This Row],[Период (№месяца)]]=1,1,1+$B$12*$B$10)</f>
        <v>21506.495151108596</v>
      </c>
      <c r="I86" s="4">
        <f>-FV($B$10,Табл1[[#This Row],[Период (№месяца)]],$B$13,$B$5,$B$12)/(1+$B$12*$B$10)</f>
        <v>19834.710743802087</v>
      </c>
      <c r="J86" s="4">
        <f>-(($B$13*(1+$B$10*$B$12)/$B$10)*(1-(1+$B$10)^(Табл1[[#This Row],[Период (№месяца)]]-1-$B$11))+$B$6*((1+$B$10)^(Табл1[[#This Row],[Период (№месяца)]]-1-$B$11)))/IF(Табл1[[#This Row],[Период (№месяца)]]=1,1,1+$B$12*$B$10)</f>
        <v>21506.495151108596</v>
      </c>
      <c r="K86" s="4">
        <f>-($B$13*(1+$B$10*$B$12)*(1-(1+$B$10)^Табл1[[#This Row],[Период (№месяца)]])/$B$10-$B$5*((1+$B$10)^Табл1[[#This Row],[Период (№месяца)]]))/(1+$B$12*$B$10)</f>
        <v>19834.710743802087</v>
      </c>
      <c r="M86" s="5">
        <v>60</v>
      </c>
      <c r="N86" s="30">
        <f t="shared" si="5"/>
        <v>-1671.78440730695</v>
      </c>
      <c r="O86" s="30">
        <f t="shared" si="6"/>
        <v>-1671.7844073069464</v>
      </c>
      <c r="P86" s="30">
        <f>Табл1[[#This Row],[Тело кредита]]-O86</f>
        <v>-3.4106051316484809E-12</v>
      </c>
    </row>
    <row r="87" spans="1:16" x14ac:dyDescent="0.25">
      <c r="A87" t="s">
        <v>31</v>
      </c>
      <c r="C87" s="23">
        <f>SUBTOTAL(109,Табл1[Платеж])</f>
        <v>-111060.31201397136</v>
      </c>
      <c r="D87" s="23">
        <f>SUBTOTAL(109,Табл1[Тело кредита])</f>
        <v>-80165.289256198346</v>
      </c>
      <c r="E87" s="23">
        <f>SUBTOTAL(109,Табл1[Процент])</f>
        <v>-30895.022757772949</v>
      </c>
      <c r="F87" s="4"/>
      <c r="G87" s="4"/>
    </row>
  </sheetData>
  <conditionalFormatting sqref="B21">
    <cfRule type="duplicateValues" dxfId="15" priority="1"/>
  </conditionalFormatting>
  <conditionalFormatting sqref="B17:B22">
    <cfRule type="duplicateValues" dxfId="14" priority="3"/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36" t="s">
        <v>3</v>
      </c>
      <c r="B1" s="37"/>
      <c r="C1" s="38"/>
    </row>
    <row r="3" spans="1:4" x14ac:dyDescent="0.25">
      <c r="B3" s="39" t="s">
        <v>1</v>
      </c>
      <c r="C3" s="40"/>
      <c r="D3" s="41"/>
    </row>
    <row r="4" spans="1:4" x14ac:dyDescent="0.25">
      <c r="A4" s="42" t="s">
        <v>0</v>
      </c>
      <c r="B4" s="45" t="s">
        <v>2</v>
      </c>
      <c r="C4" s="46"/>
      <c r="D4" s="47"/>
    </row>
    <row r="5" spans="1:4" x14ac:dyDescent="0.25">
      <c r="A5" s="43"/>
      <c r="B5" s="48"/>
      <c r="C5" s="49"/>
      <c r="D5" s="50"/>
    </row>
    <row r="6" spans="1:4" x14ac:dyDescent="0.25">
      <c r="A6" s="43"/>
      <c r="B6" s="48"/>
      <c r="C6" s="49"/>
      <c r="D6" s="50"/>
    </row>
    <row r="7" spans="1:4" x14ac:dyDescent="0.25">
      <c r="A7" s="43"/>
      <c r="B7" s="48"/>
      <c r="C7" s="49"/>
      <c r="D7" s="50"/>
    </row>
    <row r="8" spans="1:4" x14ac:dyDescent="0.25">
      <c r="A8" s="43"/>
      <c r="B8" s="48"/>
      <c r="C8" s="49"/>
      <c r="D8" s="50"/>
    </row>
    <row r="9" spans="1:4" x14ac:dyDescent="0.25">
      <c r="A9" s="44"/>
      <c r="B9" s="51"/>
      <c r="C9" s="52"/>
      <c r="D9" s="53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54" t="s">
        <v>70</v>
      </c>
      <c r="B1" s="54"/>
      <c r="C1" s="54"/>
      <c r="D1" s="54"/>
      <c r="E1" s="54"/>
      <c r="F1" s="54"/>
      <c r="G1" s="54"/>
    </row>
    <row r="2" spans="1:7" ht="107.25" customHeight="1" x14ac:dyDescent="0.25">
      <c r="A2" s="35" t="s">
        <v>71</v>
      </c>
    </row>
    <row r="3" spans="1:7" ht="105" customHeight="1" x14ac:dyDescent="0.25">
      <c r="A3" s="35" t="s">
        <v>72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54" t="s">
        <v>70</v>
      </c>
      <c r="B1" s="54"/>
      <c r="C1" s="54"/>
      <c r="D1" s="54"/>
      <c r="E1" s="54"/>
      <c r="F1" s="54"/>
      <c r="G1" s="54"/>
    </row>
    <row r="2" spans="1:7" ht="107.25" customHeight="1" x14ac:dyDescent="0.25">
      <c r="A2" s="35" t="s">
        <v>71</v>
      </c>
    </row>
    <row r="3" spans="1:7" ht="105" customHeight="1" x14ac:dyDescent="0.25">
      <c r="A3" s="35" t="s">
        <v>72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F20"/>
  <sheetViews>
    <sheetView workbookViewId="0">
      <selection activeCell="B20" sqref="B20"/>
    </sheetView>
  </sheetViews>
  <sheetFormatPr defaultRowHeight="15" x14ac:dyDescent="0.25"/>
  <cols>
    <col min="1" max="1" width="35.42578125" customWidth="1"/>
    <col min="2" max="2" width="15" customWidth="1"/>
    <col min="3" max="3" width="9.85546875" bestFit="1" customWidth="1"/>
    <col min="4" max="4" width="5.140625" bestFit="1" customWidth="1"/>
    <col min="5" max="5" width="30.5703125" bestFit="1" customWidth="1"/>
    <col min="6" max="6" width="11.42578125" bestFit="1" customWidth="1"/>
  </cols>
  <sheetData>
    <row r="3" spans="1:6" x14ac:dyDescent="0.25">
      <c r="A3" s="9" t="s">
        <v>21</v>
      </c>
      <c r="B3" s="9" t="s">
        <v>22</v>
      </c>
      <c r="C3" s="31" t="s">
        <v>42</v>
      </c>
      <c r="D3" s="31"/>
    </row>
    <row r="4" spans="1:6" x14ac:dyDescent="0.25">
      <c r="A4" s="5" t="s">
        <v>37</v>
      </c>
      <c r="B4" s="13">
        <v>100000</v>
      </c>
      <c r="C4" s="5" t="s">
        <v>11</v>
      </c>
      <c r="D4" s="5" t="s">
        <v>10</v>
      </c>
    </row>
    <row r="5" spans="1:6" x14ac:dyDescent="0.25">
      <c r="A5" s="5" t="s">
        <v>36</v>
      </c>
      <c r="B5" s="19">
        <v>10</v>
      </c>
      <c r="C5" s="5"/>
      <c r="D5" s="5"/>
    </row>
    <row r="6" spans="1:6" x14ac:dyDescent="0.25">
      <c r="A6" s="5" t="s">
        <v>19</v>
      </c>
      <c r="B6" s="6">
        <v>0.09</v>
      </c>
      <c r="C6" s="5"/>
      <c r="D6" s="5"/>
    </row>
    <row r="7" spans="1:6" x14ac:dyDescent="0.25">
      <c r="A7" s="5" t="s">
        <v>35</v>
      </c>
      <c r="B7" s="18">
        <v>12</v>
      </c>
      <c r="C7" s="5"/>
      <c r="D7" s="5"/>
    </row>
    <row r="8" spans="1:6" x14ac:dyDescent="0.25">
      <c r="A8" s="5" t="s">
        <v>33</v>
      </c>
      <c r="B8" s="17">
        <f>B6/B7</f>
        <v>7.4999999999999997E-3</v>
      </c>
      <c r="C8" s="5" t="s">
        <v>18</v>
      </c>
      <c r="D8" s="5" t="s">
        <v>17</v>
      </c>
    </row>
    <row r="9" spans="1:6" x14ac:dyDescent="0.25">
      <c r="A9" s="5" t="s">
        <v>15</v>
      </c>
      <c r="B9" s="16">
        <f>B5*B7</f>
        <v>120</v>
      </c>
      <c r="C9" s="5" t="s">
        <v>14</v>
      </c>
      <c r="D9" s="5" t="s">
        <v>13</v>
      </c>
    </row>
    <row r="10" spans="1:6" x14ac:dyDescent="0.25">
      <c r="A10" s="26" t="s">
        <v>24</v>
      </c>
      <c r="B10" s="11">
        <f>PMT(B8,B9,B4)</f>
        <v>-1266.7577375024948</v>
      </c>
      <c r="C10" s="25" t="s">
        <v>43</v>
      </c>
      <c r="D10" s="25" t="s">
        <v>44</v>
      </c>
      <c r="E10" s="5" t="s">
        <v>62</v>
      </c>
    </row>
    <row r="11" spans="1:6" x14ac:dyDescent="0.25">
      <c r="A11" s="26" t="s">
        <v>24</v>
      </c>
      <c r="B11" s="11">
        <f>-B4*B8/(1-(1+B8)^-B9)</f>
        <v>-1266.7577375024862</v>
      </c>
      <c r="C11" s="25" t="s">
        <v>43</v>
      </c>
      <c r="D11" s="25" t="s">
        <v>44</v>
      </c>
      <c r="E11" s="5" t="s">
        <v>61</v>
      </c>
    </row>
    <row r="12" spans="1:6" x14ac:dyDescent="0.25">
      <c r="A12" s="28" t="s">
        <v>63</v>
      </c>
      <c r="B12" s="11">
        <f>B11*B9+B4</f>
        <v>-52010.928500298352</v>
      </c>
      <c r="C12" s="5"/>
      <c r="D12" s="5"/>
      <c r="E12" s="5" t="s">
        <v>66</v>
      </c>
    </row>
    <row r="13" spans="1:6" ht="30" x14ac:dyDescent="0.25">
      <c r="A13" s="32" t="str">
        <f>"Осталось выплатить долга после "&amp;C13&amp;" платежей"</f>
        <v>Осталось выплатить долга после 24 платежей</v>
      </c>
      <c r="B13" s="11">
        <f>B10*(1-(1+B8)^(C13-B9))/B8</f>
        <v>-86466.905191492595</v>
      </c>
      <c r="C13" s="8">
        <v>24</v>
      </c>
      <c r="D13" s="5"/>
      <c r="E13" s="34" t="s">
        <v>68</v>
      </c>
    </row>
    <row r="14" spans="1:6" x14ac:dyDescent="0.25">
      <c r="A14" s="32"/>
      <c r="B14" s="4">
        <f>CUMPRINC(B8,B9,B4,C13+1,B9,0)</f>
        <v>-86466.905191491969</v>
      </c>
      <c r="C14" s="8"/>
      <c r="D14" s="5"/>
      <c r="E14" s="5" t="s">
        <v>67</v>
      </c>
      <c r="F14" s="4"/>
    </row>
    <row r="15" spans="1:6" x14ac:dyDescent="0.25">
      <c r="A15" s="32" t="str">
        <f>"В "&amp;C15&amp;"-й период будет выплачено %"</f>
        <v>В 25-й период будет выплачено %</v>
      </c>
      <c r="B15" s="11">
        <f>B13*B8</f>
        <v>-648.50178893619443</v>
      </c>
      <c r="C15" s="5">
        <f>C13+1</f>
        <v>25</v>
      </c>
      <c r="D15" s="5"/>
      <c r="E15" s="5"/>
    </row>
    <row r="16" spans="1:6" x14ac:dyDescent="0.25">
      <c r="B16" s="11">
        <f>IPMT(B8,C15,B9,B4)</f>
        <v>-648.50178893618966</v>
      </c>
      <c r="C16" s="5"/>
      <c r="D16" s="5"/>
      <c r="E16" s="5" t="s">
        <v>64</v>
      </c>
    </row>
    <row r="17" spans="1:5" ht="30" x14ac:dyDescent="0.25">
      <c r="A17" s="32" t="str">
        <f>"В "&amp;C15&amp;"-й период будет выплачено основной суммы долга"</f>
        <v>В 25-й период будет выплачено основной суммы долга</v>
      </c>
      <c r="B17" s="11">
        <f>B10-B15</f>
        <v>-618.25594856630039</v>
      </c>
      <c r="C17" s="5"/>
      <c r="D17" s="5"/>
      <c r="E17" s="5"/>
    </row>
    <row r="18" spans="1:5" x14ac:dyDescent="0.25">
      <c r="B18" s="11">
        <f>PPMT(B8,C15,B9,B4)</f>
        <v>-618.25594856630516</v>
      </c>
      <c r="C18" s="5"/>
      <c r="D18" s="5"/>
      <c r="E18" s="5" t="s">
        <v>65</v>
      </c>
    </row>
    <row r="19" spans="1:5" x14ac:dyDescent="0.25">
      <c r="B19" s="11">
        <f>-(-B10-B4*B8)*(1+B8)^(C15-1)</f>
        <v>-618.2559485663063</v>
      </c>
    </row>
    <row r="20" spans="1:5" x14ac:dyDescent="0.25">
      <c r="B20" s="11">
        <f>B10/(1+B8)^(B9-C15+1)</f>
        <v>-618.25594856630028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principal</vt:lpstr>
      <vt:lpstr>Лист7</vt:lpstr>
      <vt:lpstr>EXCEL2.RU</vt:lpstr>
      <vt:lpstr>Задача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2015-04-19T18:20:25Z</dcterms:modified>
</cp:coreProperties>
</file>