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591"/>
  </bookViews>
  <sheets>
    <sheet name="аннуитет (ПЛТ)" sheetId="19" r:id="rId1"/>
    <sheet name="EXCEL2.RU" sheetId="25" r:id="rId2"/>
    <sheet name="EXCEL2.RU (2)" sheetId="26" state="veryHidden" r:id="rId3"/>
    <sheet name="аннуитет (без ПЛТ)" sheetId="20" r:id="rId4"/>
    <sheet name="Вклад" sheetId="23" r:id="rId5"/>
    <sheet name="задачи" sheetId="21" r:id="rId6"/>
    <sheet name="зависимости ПЛТ" sheetId="22" r:id="rId7"/>
    <sheet name="Лист7" sheetId="18" state="hidden" r:id="rId8"/>
    <sheet name="схема" sheetId="24" r:id="rId9"/>
  </sheets>
  <definedNames>
    <definedName name="anscount" hidden="1">2</definedName>
    <definedName name="limcount" hidden="1">2</definedName>
    <definedName name="sencount" hidden="1">4</definedName>
    <definedName name="Процент" localSheetId="2">-ПлатежиАннуитет[Процент]</definedName>
    <definedName name="Процент">-ПлатежиАннуитет[Процент]</definedName>
    <definedName name="Тело_кредита" localSheetId="2">-ПлатежиАннуитет[Тело кредита]</definedName>
    <definedName name="Тело_кредита">-ПлатежиАннуитет[Тело кредита]</definedName>
  </definedNames>
  <calcPr calcId="145621"/>
</workbook>
</file>

<file path=xl/calcChain.xml><?xml version="1.0" encoding="utf-8"?>
<calcChain xmlns="http://schemas.openxmlformats.org/spreadsheetml/2006/main">
  <c r="C15" i="19" l="1"/>
  <c r="E25" i="19"/>
  <c r="O25" i="19"/>
  <c r="E26" i="19"/>
  <c r="O26" i="19"/>
  <c r="E27" i="19"/>
  <c r="O27" i="19"/>
  <c r="E28" i="19"/>
  <c r="O28" i="19"/>
  <c r="E29" i="19"/>
  <c r="O29" i="19"/>
  <c r="E30" i="19"/>
  <c r="O30" i="19"/>
  <c r="E31" i="19"/>
  <c r="O31" i="19"/>
  <c r="E32" i="19"/>
  <c r="O32" i="19"/>
  <c r="E33" i="19"/>
  <c r="O33" i="19"/>
  <c r="E34" i="19"/>
  <c r="O34" i="19"/>
  <c r="E35" i="19"/>
  <c r="O35" i="19"/>
  <c r="E36" i="19"/>
  <c r="O36" i="19"/>
  <c r="E37" i="19"/>
  <c r="O37" i="19"/>
  <c r="E38" i="19"/>
  <c r="O38" i="19"/>
  <c r="E39" i="19"/>
  <c r="O39" i="19"/>
  <c r="E40" i="19"/>
  <c r="O40" i="19"/>
  <c r="E41" i="19"/>
  <c r="O41" i="19"/>
  <c r="E42" i="19"/>
  <c r="O42" i="19"/>
  <c r="E43" i="19"/>
  <c r="O43" i="19"/>
  <c r="E44" i="19"/>
  <c r="O44" i="19"/>
  <c r="E45" i="19"/>
  <c r="O45" i="19"/>
  <c r="E46" i="19"/>
  <c r="O46" i="19"/>
  <c r="E47" i="19"/>
  <c r="O47" i="19"/>
  <c r="E48" i="19"/>
  <c r="O48" i="19"/>
  <c r="E49" i="19"/>
  <c r="O49" i="19"/>
  <c r="E50" i="19"/>
  <c r="O50" i="19"/>
  <c r="E51" i="19"/>
  <c r="O51" i="19"/>
  <c r="E52" i="19"/>
  <c r="O52" i="19"/>
  <c r="E53" i="19"/>
  <c r="O53" i="19"/>
  <c r="E54" i="19"/>
  <c r="O54" i="19"/>
  <c r="E55" i="19"/>
  <c r="O55" i="19"/>
  <c r="E56" i="19"/>
  <c r="O56" i="19"/>
  <c r="E57" i="19"/>
  <c r="O57" i="19"/>
  <c r="E58" i="19"/>
  <c r="O58" i="19"/>
  <c r="E59" i="19"/>
  <c r="O59" i="19"/>
  <c r="E60" i="19"/>
  <c r="O60" i="19"/>
  <c r="E61" i="19"/>
  <c r="O61" i="19"/>
  <c r="E62" i="19"/>
  <c r="O62" i="19"/>
  <c r="E63" i="19"/>
  <c r="O63" i="19"/>
  <c r="E64" i="19"/>
  <c r="O64" i="19"/>
  <c r="E65" i="19"/>
  <c r="O65" i="19"/>
  <c r="E66" i="19"/>
  <c r="O66" i="19"/>
  <c r="E67" i="19"/>
  <c r="O67" i="19"/>
  <c r="E68" i="19"/>
  <c r="O68" i="19"/>
  <c r="E69" i="19"/>
  <c r="O69" i="19"/>
  <c r="E70" i="19"/>
  <c r="O70" i="19"/>
  <c r="E71" i="19"/>
  <c r="O71" i="19"/>
  <c r="E72" i="19"/>
  <c r="O72" i="19"/>
  <c r="E73" i="19"/>
  <c r="O73" i="19"/>
  <c r="E74" i="19"/>
  <c r="O74" i="19"/>
  <c r="E75" i="19"/>
  <c r="O75" i="19"/>
  <c r="E76" i="19"/>
  <c r="O76" i="19"/>
  <c r="E77" i="19"/>
  <c r="O77" i="19"/>
  <c r="E78" i="19"/>
  <c r="O78" i="19"/>
  <c r="E79" i="19"/>
  <c r="O79" i="19"/>
  <c r="E21" i="19"/>
  <c r="O21" i="19"/>
  <c r="E22" i="19"/>
  <c r="O22" i="19"/>
  <c r="E23" i="19"/>
  <c r="O23" i="19"/>
  <c r="E24" i="19"/>
  <c r="O24" i="19"/>
  <c r="E20" i="19"/>
  <c r="O20" i="19"/>
  <c r="B14" i="22"/>
  <c r="B10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C49" i="19"/>
  <c r="C50" i="19"/>
  <c r="C51" i="19"/>
  <c r="C52" i="19"/>
  <c r="C53" i="19"/>
  <c r="C54" i="19"/>
  <c r="C55" i="19"/>
  <c r="C56" i="19"/>
  <c r="C57" i="19"/>
  <c r="C58" i="19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C72" i="19"/>
  <c r="C73" i="19"/>
  <c r="C74" i="19"/>
  <c r="C75" i="19"/>
  <c r="C76" i="19"/>
  <c r="C77" i="19"/>
  <c r="C78" i="19"/>
  <c r="C79" i="19"/>
  <c r="M20" i="19"/>
  <c r="N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16" i="20"/>
  <c r="B10" i="23"/>
  <c r="B12" i="23"/>
  <c r="B46" i="23"/>
  <c r="F46" i="23"/>
  <c r="B9" i="23"/>
  <c r="C45" i="23"/>
  <c r="C15" i="23"/>
  <c r="D18" i="23"/>
  <c r="B18" i="23"/>
  <c r="F18" i="23"/>
  <c r="C17" i="23"/>
  <c r="D16" i="23"/>
  <c r="B16" i="23"/>
  <c r="F16" i="23"/>
  <c r="C25" i="23"/>
  <c r="D24" i="23"/>
  <c r="B24" i="23"/>
  <c r="F24" i="23"/>
  <c r="C23" i="23"/>
  <c r="D22" i="23"/>
  <c r="B22" i="23"/>
  <c r="F22" i="23"/>
  <c r="C21" i="23"/>
  <c r="D20" i="23"/>
  <c r="B20" i="23"/>
  <c r="F20" i="23"/>
  <c r="C19" i="23"/>
  <c r="D44" i="23"/>
  <c r="B44" i="23"/>
  <c r="F44" i="23"/>
  <c r="C43" i="23"/>
  <c r="D42" i="23"/>
  <c r="B42" i="23"/>
  <c r="F42" i="23"/>
  <c r="C41" i="23"/>
  <c r="D40" i="23"/>
  <c r="B40" i="23"/>
  <c r="F40" i="23"/>
  <c r="C39" i="23"/>
  <c r="D38" i="23"/>
  <c r="B38" i="23"/>
  <c r="F38" i="23"/>
  <c r="C37" i="23"/>
  <c r="D36" i="23"/>
  <c r="B36" i="23"/>
  <c r="F36" i="23"/>
  <c r="C35" i="23"/>
  <c r="D34" i="23"/>
  <c r="B34" i="23"/>
  <c r="F34" i="23"/>
  <c r="C33" i="23"/>
  <c r="D32" i="23"/>
  <c r="B32" i="23"/>
  <c r="F32" i="23"/>
  <c r="C31" i="23"/>
  <c r="D30" i="23"/>
  <c r="B30" i="23"/>
  <c r="F30" i="23"/>
  <c r="C29" i="23"/>
  <c r="D28" i="23"/>
  <c r="B28" i="23"/>
  <c r="F28" i="23"/>
  <c r="C27" i="23"/>
  <c r="D26" i="23"/>
  <c r="B26" i="23"/>
  <c r="F26" i="23"/>
  <c r="C50" i="23"/>
  <c r="D49" i="23"/>
  <c r="B49" i="23"/>
  <c r="F49" i="23"/>
  <c r="C48" i="23"/>
  <c r="D47" i="23"/>
  <c r="B47" i="23"/>
  <c r="F47" i="23"/>
  <c r="C46" i="23"/>
  <c r="D45" i="23"/>
  <c r="B45" i="23"/>
  <c r="F45" i="23"/>
  <c r="B15" i="23"/>
  <c r="F15" i="23"/>
  <c r="D15" i="23"/>
  <c r="E16" i="23"/>
  <c r="C18" i="23"/>
  <c r="D17" i="23"/>
  <c r="B17" i="23"/>
  <c r="F17" i="23"/>
  <c r="C16" i="23"/>
  <c r="D25" i="23"/>
  <c r="B25" i="23"/>
  <c r="F25" i="23"/>
  <c r="C24" i="23"/>
  <c r="D23" i="23"/>
  <c r="B23" i="23"/>
  <c r="F23" i="23"/>
  <c r="C22" i="23"/>
  <c r="D21" i="23"/>
  <c r="B21" i="23"/>
  <c r="F21" i="23"/>
  <c r="C20" i="23"/>
  <c r="D19" i="23"/>
  <c r="B19" i="23"/>
  <c r="F19" i="23"/>
  <c r="C44" i="23"/>
  <c r="D43" i="23"/>
  <c r="B43" i="23"/>
  <c r="F43" i="23"/>
  <c r="C42" i="23"/>
  <c r="D41" i="23"/>
  <c r="B41" i="23"/>
  <c r="F41" i="23"/>
  <c r="C40" i="23"/>
  <c r="D39" i="23"/>
  <c r="B39" i="23"/>
  <c r="F39" i="23"/>
  <c r="C38" i="23"/>
  <c r="D37" i="23"/>
  <c r="B37" i="23"/>
  <c r="F37" i="23"/>
  <c r="C36" i="23"/>
  <c r="D35" i="23"/>
  <c r="B35" i="23"/>
  <c r="F35" i="23"/>
  <c r="C34" i="23"/>
  <c r="D33" i="23"/>
  <c r="B33" i="23"/>
  <c r="F33" i="23"/>
  <c r="C32" i="23"/>
  <c r="D31" i="23"/>
  <c r="B31" i="23"/>
  <c r="F31" i="23"/>
  <c r="C30" i="23"/>
  <c r="D29" i="23"/>
  <c r="B29" i="23"/>
  <c r="F29" i="23"/>
  <c r="C28" i="23"/>
  <c r="D27" i="23"/>
  <c r="B27" i="23"/>
  <c r="F27" i="23"/>
  <c r="C26" i="23"/>
  <c r="D50" i="23"/>
  <c r="B50" i="23"/>
  <c r="F50" i="23"/>
  <c r="C49" i="23"/>
  <c r="D48" i="23"/>
  <c r="B48" i="23"/>
  <c r="F48" i="23"/>
  <c r="C47" i="23"/>
  <c r="D46" i="23"/>
  <c r="E49" i="23"/>
  <c r="E45" i="23"/>
  <c r="E43" i="23"/>
  <c r="E41" i="23"/>
  <c r="E39" i="23"/>
  <c r="E37" i="23"/>
  <c r="E35" i="23"/>
  <c r="E33" i="23"/>
  <c r="E31" i="23"/>
  <c r="E29" i="23"/>
  <c r="E27" i="23"/>
  <c r="E25" i="23"/>
  <c r="E23" i="23"/>
  <c r="E21" i="23"/>
  <c r="E19" i="23"/>
  <c r="E17" i="23"/>
  <c r="E15" i="23"/>
  <c r="E50" i="23"/>
  <c r="E48" i="23"/>
  <c r="E46" i="23"/>
  <c r="E44" i="23"/>
  <c r="E42" i="23"/>
  <c r="E40" i="23"/>
  <c r="E38" i="23"/>
  <c r="E36" i="23"/>
  <c r="E34" i="23"/>
  <c r="E32" i="23"/>
  <c r="E30" i="23"/>
  <c r="E28" i="23"/>
  <c r="E26" i="23"/>
  <c r="E24" i="23"/>
  <c r="E22" i="23"/>
  <c r="E20" i="23"/>
  <c r="E18" i="23"/>
  <c r="E47" i="23"/>
  <c r="G16" i="23"/>
  <c r="G18" i="23"/>
  <c r="G20" i="23"/>
  <c r="G22" i="23"/>
  <c r="G24" i="23"/>
  <c r="G26" i="23"/>
  <c r="G28" i="23"/>
  <c r="G30" i="23"/>
  <c r="G32" i="23"/>
  <c r="G34" i="23"/>
  <c r="G36" i="23"/>
  <c r="G38" i="23"/>
  <c r="G40" i="23"/>
  <c r="G42" i="23"/>
  <c r="G44" i="23"/>
  <c r="G46" i="23"/>
  <c r="G48" i="23"/>
  <c r="G50" i="23"/>
  <c r="G15" i="23"/>
  <c r="G17" i="23"/>
  <c r="G19" i="23"/>
  <c r="G21" i="23"/>
  <c r="G23" i="23"/>
  <c r="G25" i="23"/>
  <c r="G27" i="23"/>
  <c r="G29" i="23"/>
  <c r="G31" i="23"/>
  <c r="G33" i="23"/>
  <c r="G35" i="23"/>
  <c r="G37" i="23"/>
  <c r="G39" i="23"/>
  <c r="G41" i="23"/>
  <c r="G43" i="23"/>
  <c r="G45" i="23"/>
  <c r="G47" i="23"/>
  <c r="G49" i="23"/>
  <c r="A107" i="22"/>
  <c r="A108" i="22"/>
  <c r="A109" i="22"/>
  <c r="A50" i="22"/>
  <c r="A51" i="22"/>
  <c r="A110" i="22"/>
  <c r="A52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A33" i="22"/>
  <c r="A34" i="22"/>
  <c r="A35" i="22"/>
  <c r="A36" i="22"/>
  <c r="A37" i="22"/>
  <c r="A38" i="22"/>
  <c r="A39" i="22"/>
  <c r="A40" i="22"/>
  <c r="A41" i="22"/>
  <c r="A42" i="22"/>
  <c r="B11" i="22"/>
  <c r="B49" i="22"/>
  <c r="B10" i="22"/>
  <c r="B50" i="22"/>
  <c r="B51" i="22"/>
  <c r="B13" i="22"/>
  <c r="B108" i="22"/>
  <c r="B107" i="22"/>
  <c r="B106" i="22"/>
  <c r="B109" i="22"/>
  <c r="A111" i="22"/>
  <c r="B110" i="22"/>
  <c r="B52" i="22"/>
  <c r="A53" i="22"/>
  <c r="E20" i="22"/>
  <c r="E21" i="22"/>
  <c r="B35" i="22"/>
  <c r="B20" i="22"/>
  <c r="B42" i="22"/>
  <c r="B41" i="22"/>
  <c r="B40" i="22"/>
  <c r="B39" i="22"/>
  <c r="B38" i="22"/>
  <c r="B37" i="22"/>
  <c r="B36" i="22"/>
  <c r="A112" i="22"/>
  <c r="B111" i="22"/>
  <c r="B53" i="22"/>
  <c r="A54" i="22"/>
  <c r="B21" i="22"/>
  <c r="A113" i="22"/>
  <c r="B112" i="22"/>
  <c r="B54" i="22"/>
  <c r="A55" i="22"/>
  <c r="B22" i="22"/>
  <c r="A114" i="22"/>
  <c r="B113" i="22"/>
  <c r="B55" i="22"/>
  <c r="A56" i="22"/>
  <c r="B23" i="22"/>
  <c r="A115" i="22"/>
  <c r="B114" i="22"/>
  <c r="B56" i="22"/>
  <c r="A57" i="22"/>
  <c r="B24" i="22"/>
  <c r="A116" i="22"/>
  <c r="B115" i="22"/>
  <c r="B57" i="22"/>
  <c r="A58" i="22"/>
  <c r="B25" i="22"/>
  <c r="A117" i="22"/>
  <c r="B116" i="22"/>
  <c r="B58" i="22"/>
  <c r="A59" i="22"/>
  <c r="B26" i="22"/>
  <c r="A118" i="22"/>
  <c r="B117" i="22"/>
  <c r="B59" i="22"/>
  <c r="A60" i="22"/>
  <c r="B27" i="22"/>
  <c r="B60" i="22"/>
  <c r="A61" i="22"/>
  <c r="A119" i="22"/>
  <c r="B118" i="22"/>
  <c r="B28" i="22"/>
  <c r="B61" i="22"/>
  <c r="A62" i="22"/>
  <c r="B119" i="22"/>
  <c r="A120" i="22"/>
  <c r="B29" i="22"/>
  <c r="B62" i="22"/>
  <c r="A63" i="22"/>
  <c r="A121" i="22"/>
  <c r="B120" i="22"/>
  <c r="B30" i="22"/>
  <c r="B63" i="22"/>
  <c r="A64" i="22"/>
  <c r="B121" i="22"/>
  <c r="A122" i="22"/>
  <c r="B31" i="22"/>
  <c r="B64" i="22"/>
  <c r="A65" i="22"/>
  <c r="A123" i="22"/>
  <c r="B122" i="22"/>
  <c r="B32" i="22"/>
  <c r="B65" i="22"/>
  <c r="A66" i="22"/>
  <c r="B123" i="22"/>
  <c r="A124" i="22"/>
  <c r="B34" i="22"/>
  <c r="B33" i="22"/>
  <c r="B66" i="22"/>
  <c r="A67" i="22"/>
  <c r="A125" i="22"/>
  <c r="B125" i="22"/>
  <c r="B124" i="22"/>
  <c r="B11" i="19"/>
  <c r="D15" i="19"/>
  <c r="B67" i="22"/>
  <c r="A68" i="22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54" i="21"/>
  <c r="C55" i="21"/>
  <c r="C56" i="21"/>
  <c r="C57" i="21"/>
  <c r="C58" i="21"/>
  <c r="C59" i="21"/>
  <c r="C60" i="21"/>
  <c r="C61" i="21"/>
  <c r="B53" i="21"/>
  <c r="C53" i="21"/>
  <c r="B20" i="19"/>
  <c r="B40" i="21"/>
  <c r="B45" i="21"/>
  <c r="B47" i="21"/>
  <c r="B28" i="21"/>
  <c r="C31" i="21"/>
  <c r="C113" i="21"/>
  <c r="B68" i="22"/>
  <c r="A69" i="22"/>
  <c r="B49" i="21"/>
  <c r="D111" i="21"/>
  <c r="D109" i="21"/>
  <c r="D107" i="21"/>
  <c r="D105" i="21"/>
  <c r="D103" i="21"/>
  <c r="D101" i="21"/>
  <c r="D99" i="21"/>
  <c r="D97" i="21"/>
  <c r="D95" i="21"/>
  <c r="D93" i="21"/>
  <c r="D91" i="21"/>
  <c r="D89" i="21"/>
  <c r="D87" i="21"/>
  <c r="D85" i="21"/>
  <c r="D83" i="21"/>
  <c r="D81" i="21"/>
  <c r="D79" i="21"/>
  <c r="D77" i="21"/>
  <c r="D75" i="21"/>
  <c r="D73" i="21"/>
  <c r="D71" i="21"/>
  <c r="D69" i="21"/>
  <c r="D67" i="21"/>
  <c r="D65" i="21"/>
  <c r="D63" i="21"/>
  <c r="D61" i="21"/>
  <c r="D59" i="21"/>
  <c r="D57" i="21"/>
  <c r="D55" i="21"/>
  <c r="D53" i="21"/>
  <c r="E111" i="21"/>
  <c r="E109" i="21"/>
  <c r="E107" i="21"/>
  <c r="E105" i="21"/>
  <c r="E103" i="21"/>
  <c r="E101" i="21"/>
  <c r="E99" i="21"/>
  <c r="E97" i="21"/>
  <c r="E95" i="21"/>
  <c r="E93" i="21"/>
  <c r="E91" i="21"/>
  <c r="E89" i="21"/>
  <c r="E87" i="21"/>
  <c r="E85" i="21"/>
  <c r="E83" i="21"/>
  <c r="E81" i="21"/>
  <c r="E79" i="21"/>
  <c r="E77" i="21"/>
  <c r="E75" i="21"/>
  <c r="E73" i="21"/>
  <c r="E71" i="21"/>
  <c r="E69" i="21"/>
  <c r="E67" i="21"/>
  <c r="E65" i="21"/>
  <c r="E63" i="21"/>
  <c r="E61" i="21"/>
  <c r="E59" i="21"/>
  <c r="E57" i="21"/>
  <c r="E55" i="21"/>
  <c r="E53" i="21"/>
  <c r="D112" i="21"/>
  <c r="D110" i="21"/>
  <c r="D108" i="21"/>
  <c r="D106" i="21"/>
  <c r="D104" i="21"/>
  <c r="D102" i="21"/>
  <c r="D100" i="21"/>
  <c r="D98" i="21"/>
  <c r="D96" i="21"/>
  <c r="D94" i="21"/>
  <c r="D92" i="21"/>
  <c r="D90" i="21"/>
  <c r="D88" i="21"/>
  <c r="D86" i="21"/>
  <c r="D84" i="21"/>
  <c r="D82" i="21"/>
  <c r="D80" i="21"/>
  <c r="D78" i="21"/>
  <c r="D76" i="21"/>
  <c r="D74" i="21"/>
  <c r="D72" i="21"/>
  <c r="D70" i="21"/>
  <c r="D68" i="21"/>
  <c r="D66" i="21"/>
  <c r="D64" i="21"/>
  <c r="D62" i="21"/>
  <c r="D60" i="21"/>
  <c r="D58" i="21"/>
  <c r="D56" i="21"/>
  <c r="D54" i="21"/>
  <c r="E112" i="21"/>
  <c r="E110" i="21"/>
  <c r="E108" i="21"/>
  <c r="E106" i="21"/>
  <c r="E104" i="21"/>
  <c r="E102" i="21"/>
  <c r="E100" i="21"/>
  <c r="E98" i="21"/>
  <c r="E96" i="21"/>
  <c r="E94" i="21"/>
  <c r="E92" i="21"/>
  <c r="E90" i="21"/>
  <c r="E88" i="21"/>
  <c r="E86" i="21"/>
  <c r="E84" i="21"/>
  <c r="E82" i="21"/>
  <c r="E80" i="21"/>
  <c r="E78" i="21"/>
  <c r="E76" i="21"/>
  <c r="E74" i="21"/>
  <c r="E72" i="21"/>
  <c r="E70" i="21"/>
  <c r="E68" i="21"/>
  <c r="E66" i="21"/>
  <c r="E64" i="21"/>
  <c r="E62" i="21"/>
  <c r="E60" i="21"/>
  <c r="E58" i="21"/>
  <c r="E56" i="21"/>
  <c r="E54" i="21"/>
  <c r="C47" i="21"/>
  <c r="B46" i="21"/>
  <c r="B20" i="21"/>
  <c r="B9" i="21"/>
  <c r="B10" i="21"/>
  <c r="A75" i="20"/>
  <c r="A74" i="20"/>
  <c r="A73" i="20"/>
  <c r="A72" i="20"/>
  <c r="A71" i="20"/>
  <c r="A70" i="20"/>
  <c r="A69" i="20"/>
  <c r="A68" i="20"/>
  <c r="A67" i="20"/>
  <c r="A66" i="20"/>
  <c r="A65" i="20"/>
  <c r="A64" i="20"/>
  <c r="A63" i="20"/>
  <c r="A62" i="20"/>
  <c r="A61" i="20"/>
  <c r="A60" i="20"/>
  <c r="A59" i="20"/>
  <c r="A58" i="20"/>
  <c r="A57" i="20"/>
  <c r="A56" i="20"/>
  <c r="A55" i="20"/>
  <c r="A54" i="20"/>
  <c r="A53" i="20"/>
  <c r="A52" i="20"/>
  <c r="A51" i="20"/>
  <c r="A50" i="20"/>
  <c r="A49" i="20"/>
  <c r="A48" i="20"/>
  <c r="A47" i="20"/>
  <c r="A46" i="20"/>
  <c r="A45" i="20"/>
  <c r="A44" i="20"/>
  <c r="A43" i="20"/>
  <c r="A42" i="20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B16" i="20"/>
  <c r="A16" i="20"/>
  <c r="B6" i="20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A33" i="19"/>
  <c r="A34" i="19"/>
  <c r="A35" i="19"/>
  <c r="A36" i="19"/>
  <c r="A37" i="19"/>
  <c r="A38" i="19"/>
  <c r="A39" i="19"/>
  <c r="A40" i="19"/>
  <c r="A41" i="19"/>
  <c r="A42" i="19"/>
  <c r="A43" i="19"/>
  <c r="A44" i="19"/>
  <c r="A45" i="19"/>
  <c r="A46" i="19"/>
  <c r="A47" i="19"/>
  <c r="A48" i="19"/>
  <c r="A49" i="19"/>
  <c r="A50" i="19"/>
  <c r="A51" i="19"/>
  <c r="A52" i="19"/>
  <c r="A53" i="19"/>
  <c r="A54" i="19"/>
  <c r="A55" i="19"/>
  <c r="A56" i="19"/>
  <c r="A57" i="19"/>
  <c r="A58" i="19"/>
  <c r="A59" i="19"/>
  <c r="A60" i="19"/>
  <c r="A61" i="19"/>
  <c r="A62" i="19"/>
  <c r="A63" i="19"/>
  <c r="A64" i="19"/>
  <c r="A65" i="19"/>
  <c r="A66" i="19"/>
  <c r="A67" i="19"/>
  <c r="A68" i="19"/>
  <c r="A69" i="19"/>
  <c r="A70" i="19"/>
  <c r="A71" i="19"/>
  <c r="A72" i="19"/>
  <c r="A73" i="19"/>
  <c r="A74" i="19"/>
  <c r="A75" i="19"/>
  <c r="A76" i="19"/>
  <c r="A77" i="19"/>
  <c r="A78" i="19"/>
  <c r="A79" i="19"/>
  <c r="M21" i="19"/>
  <c r="M23" i="19"/>
  <c r="M25" i="19"/>
  <c r="M27" i="19"/>
  <c r="M29" i="19"/>
  <c r="M31" i="19"/>
  <c r="M33" i="19"/>
  <c r="M35" i="19"/>
  <c r="M37" i="19"/>
  <c r="M39" i="19"/>
  <c r="M41" i="19"/>
  <c r="M43" i="19"/>
  <c r="M45" i="19"/>
  <c r="M47" i="19"/>
  <c r="M49" i="19"/>
  <c r="M51" i="19"/>
  <c r="M53" i="19"/>
  <c r="M55" i="19"/>
  <c r="M57" i="19"/>
  <c r="M59" i="19"/>
  <c r="M61" i="19"/>
  <c r="M63" i="19"/>
  <c r="M65" i="19"/>
  <c r="M67" i="19"/>
  <c r="M69" i="19"/>
  <c r="M71" i="19"/>
  <c r="M73" i="19"/>
  <c r="M75" i="19"/>
  <c r="M77" i="19"/>
  <c r="M79" i="19"/>
  <c r="M22" i="19"/>
  <c r="M24" i="19"/>
  <c r="M26" i="19"/>
  <c r="M28" i="19"/>
  <c r="M30" i="19"/>
  <c r="M32" i="19"/>
  <c r="M34" i="19"/>
  <c r="M36" i="19"/>
  <c r="M38" i="19"/>
  <c r="M40" i="19"/>
  <c r="M42" i="19"/>
  <c r="M44" i="19"/>
  <c r="M46" i="19"/>
  <c r="M48" i="19"/>
  <c r="M50" i="19"/>
  <c r="M52" i="19"/>
  <c r="M54" i="19"/>
  <c r="M56" i="19"/>
  <c r="M58" i="19"/>
  <c r="M60" i="19"/>
  <c r="M62" i="19"/>
  <c r="M64" i="19"/>
  <c r="M66" i="19"/>
  <c r="M68" i="19"/>
  <c r="M70" i="19"/>
  <c r="M72" i="19"/>
  <c r="M74" i="19"/>
  <c r="M76" i="19"/>
  <c r="M78" i="19"/>
  <c r="L20" i="19"/>
  <c r="J13" i="20"/>
  <c r="D11" i="20"/>
  <c r="B69" i="22"/>
  <c r="A70" i="22"/>
  <c r="D87" i="19"/>
  <c r="D88" i="19"/>
  <c r="D89" i="19"/>
  <c r="D90" i="19"/>
  <c r="D91" i="19"/>
  <c r="C87" i="19"/>
  <c r="C88" i="19"/>
  <c r="C89" i="19"/>
  <c r="C90" i="19"/>
  <c r="C91" i="19"/>
  <c r="D113" i="21"/>
  <c r="E113" i="21"/>
  <c r="B50" i="21"/>
  <c r="F53" i="21"/>
  <c r="B89" i="21"/>
  <c r="G89" i="21"/>
  <c r="F89" i="21"/>
  <c r="B91" i="21"/>
  <c r="G91" i="21"/>
  <c r="F91" i="21"/>
  <c r="B93" i="21"/>
  <c r="G93" i="21"/>
  <c r="F93" i="21"/>
  <c r="B95" i="21"/>
  <c r="G95" i="21"/>
  <c r="F95" i="21"/>
  <c r="B97" i="21"/>
  <c r="G97" i="21"/>
  <c r="F97" i="21"/>
  <c r="B99" i="21"/>
  <c r="G99" i="21"/>
  <c r="F99" i="21"/>
  <c r="B101" i="21"/>
  <c r="G101" i="21"/>
  <c r="F101" i="21"/>
  <c r="B103" i="21"/>
  <c r="G103" i="21"/>
  <c r="F103" i="21"/>
  <c r="B105" i="21"/>
  <c r="G105" i="21"/>
  <c r="F105" i="21"/>
  <c r="B107" i="21"/>
  <c r="G107" i="21"/>
  <c r="F107" i="21"/>
  <c r="B109" i="21"/>
  <c r="G109" i="21"/>
  <c r="F109" i="21"/>
  <c r="B111" i="21"/>
  <c r="G111" i="21"/>
  <c r="F111" i="21"/>
  <c r="B62" i="21"/>
  <c r="G62" i="21"/>
  <c r="F62" i="21"/>
  <c r="B64" i="21"/>
  <c r="G64" i="21"/>
  <c r="B48" i="21"/>
  <c r="F64" i="21"/>
  <c r="B66" i="21"/>
  <c r="G66" i="21"/>
  <c r="F66" i="21"/>
  <c r="B68" i="21"/>
  <c r="G68" i="21"/>
  <c r="F68" i="21"/>
  <c r="B70" i="21"/>
  <c r="G70" i="21"/>
  <c r="F70" i="21"/>
  <c r="B72" i="21"/>
  <c r="G72" i="21"/>
  <c r="F72" i="21"/>
  <c r="B74" i="21"/>
  <c r="G74" i="21"/>
  <c r="F74" i="21"/>
  <c r="B76" i="21"/>
  <c r="G76" i="21"/>
  <c r="F76" i="21"/>
  <c r="B78" i="21"/>
  <c r="G78" i="21"/>
  <c r="F78" i="21"/>
  <c r="B80" i="21"/>
  <c r="G80" i="21"/>
  <c r="F80" i="21"/>
  <c r="B82" i="21"/>
  <c r="G82" i="21"/>
  <c r="F82" i="21"/>
  <c r="B84" i="21"/>
  <c r="G84" i="21"/>
  <c r="F84" i="21"/>
  <c r="B86" i="21"/>
  <c r="G86" i="21"/>
  <c r="F86" i="21"/>
  <c r="B88" i="21"/>
  <c r="G88" i="21"/>
  <c r="F88" i="21"/>
  <c r="B56" i="21"/>
  <c r="G56" i="21"/>
  <c r="F56" i="21"/>
  <c r="B58" i="21"/>
  <c r="G58" i="21"/>
  <c r="F58" i="21"/>
  <c r="B60" i="21"/>
  <c r="G60" i="21"/>
  <c r="F60" i="21"/>
  <c r="B90" i="21"/>
  <c r="G90" i="21"/>
  <c r="F90" i="21"/>
  <c r="B92" i="21"/>
  <c r="G92" i="21"/>
  <c r="F92" i="21"/>
  <c r="B94" i="21"/>
  <c r="G94" i="21"/>
  <c r="F94" i="21"/>
  <c r="B96" i="21"/>
  <c r="G96" i="21"/>
  <c r="F96" i="21"/>
  <c r="B98" i="21"/>
  <c r="G98" i="21"/>
  <c r="F98" i="21"/>
  <c r="B100" i="21"/>
  <c r="G100" i="21"/>
  <c r="F100" i="21"/>
  <c r="B102" i="21"/>
  <c r="G102" i="21"/>
  <c r="F102" i="21"/>
  <c r="B104" i="21"/>
  <c r="G104" i="21"/>
  <c r="F104" i="21"/>
  <c r="B106" i="21"/>
  <c r="G106" i="21"/>
  <c r="F106" i="21"/>
  <c r="B108" i="21"/>
  <c r="G108" i="21"/>
  <c r="F108" i="21"/>
  <c r="B110" i="21"/>
  <c r="G110" i="21"/>
  <c r="F110" i="21"/>
  <c r="B112" i="21"/>
  <c r="G112" i="21"/>
  <c r="F112" i="21"/>
  <c r="B63" i="21"/>
  <c r="G63" i="21"/>
  <c r="F63" i="21"/>
  <c r="B65" i="21"/>
  <c r="G65" i="21"/>
  <c r="F65" i="21"/>
  <c r="B67" i="21"/>
  <c r="G67" i="21"/>
  <c r="F67" i="21"/>
  <c r="B69" i="21"/>
  <c r="G69" i="21"/>
  <c r="F69" i="21"/>
  <c r="B71" i="21"/>
  <c r="G71" i="21"/>
  <c r="F71" i="21"/>
  <c r="B73" i="21"/>
  <c r="G73" i="21"/>
  <c r="F73" i="21"/>
  <c r="B75" i="21"/>
  <c r="G75" i="21"/>
  <c r="F75" i="21"/>
  <c r="B77" i="21"/>
  <c r="G77" i="21"/>
  <c r="F77" i="21"/>
  <c r="B79" i="21"/>
  <c r="G79" i="21"/>
  <c r="F79" i="21"/>
  <c r="B81" i="21"/>
  <c r="G81" i="21"/>
  <c r="F81" i="21"/>
  <c r="B83" i="21"/>
  <c r="G83" i="21"/>
  <c r="F83" i="21"/>
  <c r="B85" i="21"/>
  <c r="G85" i="21"/>
  <c r="F85" i="21"/>
  <c r="B87" i="21"/>
  <c r="G87" i="21"/>
  <c r="F87" i="21"/>
  <c r="B54" i="21"/>
  <c r="G54" i="21"/>
  <c r="F54" i="21"/>
  <c r="B55" i="21"/>
  <c r="G55" i="21"/>
  <c r="F55" i="21"/>
  <c r="B57" i="21"/>
  <c r="G57" i="21"/>
  <c r="F57" i="21"/>
  <c r="B59" i="21"/>
  <c r="G59" i="21"/>
  <c r="F59" i="21"/>
  <c r="B61" i="21"/>
  <c r="G61" i="21"/>
  <c r="F61" i="21"/>
  <c r="G53" i="21"/>
  <c r="B11" i="21"/>
  <c r="N78" i="19"/>
  <c r="N76" i="19"/>
  <c r="N74" i="19"/>
  <c r="N72" i="19"/>
  <c r="N70" i="19"/>
  <c r="N68" i="19"/>
  <c r="N66" i="19"/>
  <c r="N64" i="19"/>
  <c r="N62" i="19"/>
  <c r="N60" i="19"/>
  <c r="N58" i="19"/>
  <c r="N56" i="19"/>
  <c r="N54" i="19"/>
  <c r="N52" i="19"/>
  <c r="N50" i="19"/>
  <c r="N48" i="19"/>
  <c r="N46" i="19"/>
  <c r="N44" i="19"/>
  <c r="N42" i="19"/>
  <c r="N40" i="19"/>
  <c r="N38" i="19"/>
  <c r="N36" i="19"/>
  <c r="N34" i="19"/>
  <c r="N32" i="19"/>
  <c r="N30" i="19"/>
  <c r="N28" i="19"/>
  <c r="N26" i="19"/>
  <c r="N24" i="19"/>
  <c r="N22" i="19"/>
  <c r="N79" i="19"/>
  <c r="N77" i="19"/>
  <c r="N75" i="19"/>
  <c r="N73" i="19"/>
  <c r="N71" i="19"/>
  <c r="N69" i="19"/>
  <c r="N67" i="19"/>
  <c r="N65" i="19"/>
  <c r="N63" i="19"/>
  <c r="N61" i="19"/>
  <c r="N59" i="19"/>
  <c r="N57" i="19"/>
  <c r="N55" i="19"/>
  <c r="N53" i="19"/>
  <c r="N51" i="19"/>
  <c r="N49" i="19"/>
  <c r="N47" i="19"/>
  <c r="N45" i="19"/>
  <c r="N43" i="19"/>
  <c r="N41" i="19"/>
  <c r="N39" i="19"/>
  <c r="N37" i="19"/>
  <c r="N35" i="19"/>
  <c r="N33" i="19"/>
  <c r="N31" i="19"/>
  <c r="N29" i="19"/>
  <c r="N27" i="19"/>
  <c r="N25" i="19"/>
  <c r="N23" i="19"/>
  <c r="N21" i="19"/>
  <c r="C11" i="20"/>
  <c r="J18" i="20"/>
  <c r="J20" i="20"/>
  <c r="J22" i="20"/>
  <c r="J24" i="20"/>
  <c r="J26" i="20"/>
  <c r="J28" i="20"/>
  <c r="J30" i="20"/>
  <c r="J32" i="20"/>
  <c r="J34" i="20"/>
  <c r="J36" i="20"/>
  <c r="J38" i="20"/>
  <c r="J40" i="20"/>
  <c r="J42" i="20"/>
  <c r="J44" i="20"/>
  <c r="J46" i="20"/>
  <c r="J48" i="20"/>
  <c r="J50" i="20"/>
  <c r="J52" i="20"/>
  <c r="J54" i="20"/>
  <c r="J56" i="20"/>
  <c r="J58" i="20"/>
  <c r="J60" i="20"/>
  <c r="J62" i="20"/>
  <c r="J64" i="20"/>
  <c r="J66" i="20"/>
  <c r="J68" i="20"/>
  <c r="J70" i="20"/>
  <c r="J72" i="20"/>
  <c r="J74" i="20"/>
  <c r="J16" i="20"/>
  <c r="J17" i="20"/>
  <c r="J19" i="20"/>
  <c r="J21" i="20"/>
  <c r="J23" i="20"/>
  <c r="J25" i="20"/>
  <c r="J27" i="20"/>
  <c r="J29" i="20"/>
  <c r="J31" i="20"/>
  <c r="J33" i="20"/>
  <c r="J35" i="20"/>
  <c r="J37" i="20"/>
  <c r="J39" i="20"/>
  <c r="J41" i="20"/>
  <c r="J43" i="20"/>
  <c r="J45" i="20"/>
  <c r="J47" i="20"/>
  <c r="J49" i="20"/>
  <c r="J51" i="20"/>
  <c r="J53" i="20"/>
  <c r="J55" i="20"/>
  <c r="J57" i="20"/>
  <c r="J59" i="20"/>
  <c r="J61" i="20"/>
  <c r="J63" i="20"/>
  <c r="J65" i="20"/>
  <c r="J67" i="20"/>
  <c r="J69" i="20"/>
  <c r="J71" i="20"/>
  <c r="J73" i="20"/>
  <c r="J75" i="20"/>
  <c r="B70" i="22"/>
  <c r="A71" i="22"/>
  <c r="J12" i="20"/>
  <c r="I17" i="20"/>
  <c r="I19" i="20"/>
  <c r="I21" i="20"/>
  <c r="I23" i="20"/>
  <c r="I25" i="20"/>
  <c r="I27" i="20"/>
  <c r="I29" i="20"/>
  <c r="I31" i="20"/>
  <c r="I33" i="20"/>
  <c r="I35" i="20"/>
  <c r="I37" i="20"/>
  <c r="I39" i="20"/>
  <c r="I41" i="20"/>
  <c r="I43" i="20"/>
  <c r="I45" i="20"/>
  <c r="I47" i="20"/>
  <c r="I49" i="20"/>
  <c r="I51" i="20"/>
  <c r="I53" i="20"/>
  <c r="I55" i="20"/>
  <c r="I57" i="20"/>
  <c r="I59" i="20"/>
  <c r="I61" i="20"/>
  <c r="I63" i="20"/>
  <c r="I65" i="20"/>
  <c r="I67" i="20"/>
  <c r="I69" i="20"/>
  <c r="I71" i="20"/>
  <c r="I73" i="20"/>
  <c r="I75" i="20"/>
  <c r="I16" i="20"/>
  <c r="I18" i="20"/>
  <c r="I20" i="20"/>
  <c r="I22" i="20"/>
  <c r="I24" i="20"/>
  <c r="I26" i="20"/>
  <c r="I28" i="20"/>
  <c r="I30" i="20"/>
  <c r="I32" i="20"/>
  <c r="I34" i="20"/>
  <c r="I36" i="20"/>
  <c r="I38" i="20"/>
  <c r="I40" i="20"/>
  <c r="I42" i="20"/>
  <c r="I44" i="20"/>
  <c r="I46" i="20"/>
  <c r="I48" i="20"/>
  <c r="I50" i="20"/>
  <c r="I52" i="20"/>
  <c r="I54" i="20"/>
  <c r="I56" i="20"/>
  <c r="I58" i="20"/>
  <c r="I60" i="20"/>
  <c r="I62" i="20"/>
  <c r="I64" i="20"/>
  <c r="I66" i="20"/>
  <c r="I68" i="20"/>
  <c r="I70" i="20"/>
  <c r="I72" i="20"/>
  <c r="I74" i="20"/>
  <c r="E80" i="19"/>
  <c r="E17" i="20"/>
  <c r="E19" i="20"/>
  <c r="E21" i="20"/>
  <c r="E23" i="20"/>
  <c r="E25" i="20"/>
  <c r="E27" i="20"/>
  <c r="E29" i="20"/>
  <c r="E31" i="20"/>
  <c r="E33" i="20"/>
  <c r="E35" i="20"/>
  <c r="E37" i="20"/>
  <c r="E39" i="20"/>
  <c r="E41" i="20"/>
  <c r="E43" i="20"/>
  <c r="E45" i="20"/>
  <c r="E47" i="20"/>
  <c r="E49" i="20"/>
  <c r="E51" i="20"/>
  <c r="E53" i="20"/>
  <c r="E55" i="20"/>
  <c r="E57" i="20"/>
  <c r="E59" i="20"/>
  <c r="E61" i="20"/>
  <c r="E63" i="20"/>
  <c r="E65" i="20"/>
  <c r="E67" i="20"/>
  <c r="E69" i="20"/>
  <c r="E71" i="20"/>
  <c r="E73" i="20"/>
  <c r="E75" i="20"/>
  <c r="D17" i="20"/>
  <c r="D19" i="20"/>
  <c r="D21" i="20"/>
  <c r="D23" i="20"/>
  <c r="D25" i="20"/>
  <c r="D27" i="20"/>
  <c r="D29" i="20"/>
  <c r="D31" i="20"/>
  <c r="D33" i="20"/>
  <c r="D35" i="20"/>
  <c r="D37" i="20"/>
  <c r="D39" i="20"/>
  <c r="D41" i="20"/>
  <c r="D43" i="20"/>
  <c r="D45" i="20"/>
  <c r="D47" i="20"/>
  <c r="D49" i="20"/>
  <c r="D51" i="20"/>
  <c r="D53" i="20"/>
  <c r="D55" i="20"/>
  <c r="D57" i="20"/>
  <c r="D59" i="20"/>
  <c r="D61" i="20"/>
  <c r="D63" i="20"/>
  <c r="D65" i="20"/>
  <c r="D67" i="20"/>
  <c r="D69" i="20"/>
  <c r="D71" i="20"/>
  <c r="D73" i="20"/>
  <c r="D75" i="20"/>
  <c r="C17" i="20"/>
  <c r="C19" i="20"/>
  <c r="C21" i="20"/>
  <c r="C23" i="20"/>
  <c r="C25" i="20"/>
  <c r="C27" i="20"/>
  <c r="C29" i="20"/>
  <c r="C31" i="20"/>
  <c r="C33" i="20"/>
  <c r="C35" i="20"/>
  <c r="C37" i="20"/>
  <c r="C39" i="20"/>
  <c r="C41" i="20"/>
  <c r="C43" i="20"/>
  <c r="C45" i="20"/>
  <c r="C47" i="20"/>
  <c r="C49" i="20"/>
  <c r="C51" i="20"/>
  <c r="C53" i="20"/>
  <c r="C55" i="20"/>
  <c r="C57" i="20"/>
  <c r="C59" i="20"/>
  <c r="C61" i="20"/>
  <c r="C63" i="20"/>
  <c r="C65" i="20"/>
  <c r="C67" i="20"/>
  <c r="C69" i="20"/>
  <c r="C71" i="20"/>
  <c r="C73" i="20"/>
  <c r="C75" i="20"/>
  <c r="E16" i="20"/>
  <c r="E18" i="20"/>
  <c r="E20" i="20"/>
  <c r="E22" i="20"/>
  <c r="E24" i="20"/>
  <c r="E26" i="20"/>
  <c r="E28" i="20"/>
  <c r="E30" i="20"/>
  <c r="E32" i="20"/>
  <c r="E34" i="20"/>
  <c r="E36" i="20"/>
  <c r="E38" i="20"/>
  <c r="E40" i="20"/>
  <c r="E42" i="20"/>
  <c r="E44" i="20"/>
  <c r="E46" i="20"/>
  <c r="E48" i="20"/>
  <c r="E50" i="20"/>
  <c r="E52" i="20"/>
  <c r="E54" i="20"/>
  <c r="E56" i="20"/>
  <c r="E58" i="20"/>
  <c r="E60" i="20"/>
  <c r="E62" i="20"/>
  <c r="E64" i="20"/>
  <c r="E66" i="20"/>
  <c r="E68" i="20"/>
  <c r="E70" i="20"/>
  <c r="E72" i="20"/>
  <c r="E74" i="20"/>
  <c r="D16" i="20"/>
  <c r="D18" i="20"/>
  <c r="D20" i="20"/>
  <c r="D22" i="20"/>
  <c r="D24" i="20"/>
  <c r="D26" i="20"/>
  <c r="D28" i="20"/>
  <c r="D30" i="20"/>
  <c r="D32" i="20"/>
  <c r="D34" i="20"/>
  <c r="D36" i="20"/>
  <c r="D38" i="20"/>
  <c r="D40" i="20"/>
  <c r="D42" i="20"/>
  <c r="D44" i="20"/>
  <c r="D46" i="20"/>
  <c r="D48" i="20"/>
  <c r="D50" i="20"/>
  <c r="D52" i="20"/>
  <c r="D54" i="20"/>
  <c r="D56" i="20"/>
  <c r="D58" i="20"/>
  <c r="D60" i="20"/>
  <c r="D62" i="20"/>
  <c r="D64" i="20"/>
  <c r="D66" i="20"/>
  <c r="D68" i="20"/>
  <c r="D70" i="20"/>
  <c r="D72" i="20"/>
  <c r="D74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40" i="20"/>
  <c r="C42" i="20"/>
  <c r="C44" i="20"/>
  <c r="C46" i="20"/>
  <c r="C48" i="20"/>
  <c r="C50" i="20"/>
  <c r="C52" i="20"/>
  <c r="C54" i="20"/>
  <c r="C56" i="20"/>
  <c r="C58" i="20"/>
  <c r="C60" i="20"/>
  <c r="C62" i="20"/>
  <c r="C64" i="20"/>
  <c r="C66" i="20"/>
  <c r="C68" i="20"/>
  <c r="C70" i="20"/>
  <c r="C72" i="20"/>
  <c r="C74" i="20"/>
  <c r="D76" i="20"/>
  <c r="B74" i="20"/>
  <c r="F72" i="20"/>
  <c r="B72" i="20"/>
  <c r="F70" i="20"/>
  <c r="B70" i="20"/>
  <c r="F68" i="20"/>
  <c r="B68" i="20"/>
  <c r="F66" i="20"/>
  <c r="B66" i="20"/>
  <c r="F64" i="20"/>
  <c r="B64" i="20"/>
  <c r="F62" i="20"/>
  <c r="B62" i="20"/>
  <c r="F60" i="20"/>
  <c r="B60" i="20"/>
  <c r="F58" i="20"/>
  <c r="B58" i="20"/>
  <c r="F56" i="20"/>
  <c r="B56" i="20"/>
  <c r="F54" i="20"/>
  <c r="B54" i="20"/>
  <c r="F52" i="20"/>
  <c r="B52" i="20"/>
  <c r="F50" i="20"/>
  <c r="B50" i="20"/>
  <c r="F48" i="20"/>
  <c r="B48" i="20"/>
  <c r="F46" i="20"/>
  <c r="B46" i="20"/>
  <c r="F44" i="20"/>
  <c r="B44" i="20"/>
  <c r="F42" i="20"/>
  <c r="B42" i="20"/>
  <c r="F40" i="20"/>
  <c r="B40" i="20"/>
  <c r="F38" i="20"/>
  <c r="B38" i="20"/>
  <c r="F36" i="20"/>
  <c r="B36" i="20"/>
  <c r="F34" i="20"/>
  <c r="B34" i="20"/>
  <c r="F32" i="20"/>
  <c r="B32" i="20"/>
  <c r="F30" i="20"/>
  <c r="B30" i="20"/>
  <c r="F28" i="20"/>
  <c r="B28" i="20"/>
  <c r="F26" i="20"/>
  <c r="B26" i="20"/>
  <c r="F24" i="20"/>
  <c r="B24" i="20"/>
  <c r="F22" i="20"/>
  <c r="B22" i="20"/>
  <c r="F20" i="20"/>
  <c r="B20" i="20"/>
  <c r="F18" i="20"/>
  <c r="B18" i="20"/>
  <c r="F16" i="20"/>
  <c r="F75" i="20"/>
  <c r="B75" i="20"/>
  <c r="F73" i="20"/>
  <c r="B73" i="20"/>
  <c r="F71" i="20"/>
  <c r="B71" i="20"/>
  <c r="F69" i="20"/>
  <c r="B69" i="20"/>
  <c r="F67" i="20"/>
  <c r="B67" i="20"/>
  <c r="F65" i="20"/>
  <c r="B65" i="20"/>
  <c r="F63" i="20"/>
  <c r="B63" i="20"/>
  <c r="F61" i="20"/>
  <c r="B61" i="20"/>
  <c r="F59" i="20"/>
  <c r="B59" i="20"/>
  <c r="F57" i="20"/>
  <c r="B57" i="20"/>
  <c r="F55" i="20"/>
  <c r="B55" i="20"/>
  <c r="F53" i="20"/>
  <c r="B53" i="20"/>
  <c r="F51" i="20"/>
  <c r="B51" i="20"/>
  <c r="F49" i="20"/>
  <c r="B49" i="20"/>
  <c r="F47" i="20"/>
  <c r="B47" i="20"/>
  <c r="F45" i="20"/>
  <c r="B45" i="20"/>
  <c r="F43" i="20"/>
  <c r="B43" i="20"/>
  <c r="F41" i="20"/>
  <c r="B41" i="20"/>
  <c r="F39" i="20"/>
  <c r="B39" i="20"/>
  <c r="F37" i="20"/>
  <c r="B37" i="20"/>
  <c r="F35" i="20"/>
  <c r="B35" i="20"/>
  <c r="F33" i="20"/>
  <c r="B33" i="20"/>
  <c r="F31" i="20"/>
  <c r="B31" i="20"/>
  <c r="F29" i="20"/>
  <c r="B29" i="20"/>
  <c r="F27" i="20"/>
  <c r="B27" i="20"/>
  <c r="F25" i="20"/>
  <c r="B25" i="20"/>
  <c r="F23" i="20"/>
  <c r="B23" i="20"/>
  <c r="F21" i="20"/>
  <c r="B21" i="20"/>
  <c r="F19" i="20"/>
  <c r="B19" i="20"/>
  <c r="F17" i="20"/>
  <c r="B17" i="20"/>
  <c r="C76" i="20"/>
  <c r="G16" i="20"/>
  <c r="E76" i="20"/>
  <c r="F21" i="19"/>
  <c r="F23" i="19"/>
  <c r="F25" i="19"/>
  <c r="F27" i="19"/>
  <c r="F29" i="19"/>
  <c r="F31" i="19"/>
  <c r="F33" i="19"/>
  <c r="F35" i="19"/>
  <c r="F37" i="19"/>
  <c r="F39" i="19"/>
  <c r="F41" i="19"/>
  <c r="F43" i="19"/>
  <c r="F45" i="19"/>
  <c r="F47" i="19"/>
  <c r="F49" i="19"/>
  <c r="F51" i="19"/>
  <c r="F53" i="19"/>
  <c r="F55" i="19"/>
  <c r="F57" i="19"/>
  <c r="F59" i="19"/>
  <c r="F61" i="19"/>
  <c r="F63" i="19"/>
  <c r="F65" i="19"/>
  <c r="F67" i="19"/>
  <c r="F69" i="19"/>
  <c r="F71" i="19"/>
  <c r="F73" i="19"/>
  <c r="F75" i="19"/>
  <c r="F77" i="19"/>
  <c r="F79" i="19"/>
  <c r="B23" i="19"/>
  <c r="G23" i="19"/>
  <c r="B25" i="19"/>
  <c r="G25" i="19"/>
  <c r="B27" i="19"/>
  <c r="G27" i="19"/>
  <c r="B29" i="19"/>
  <c r="G29" i="19"/>
  <c r="B31" i="19"/>
  <c r="G31" i="19"/>
  <c r="B33" i="19"/>
  <c r="G33" i="19"/>
  <c r="B35" i="19"/>
  <c r="G35" i="19"/>
  <c r="B37" i="19"/>
  <c r="G37" i="19"/>
  <c r="B39" i="19"/>
  <c r="G39" i="19"/>
  <c r="B41" i="19"/>
  <c r="G41" i="19"/>
  <c r="B43" i="19"/>
  <c r="G43" i="19"/>
  <c r="B45" i="19"/>
  <c r="G45" i="19"/>
  <c r="B47" i="19"/>
  <c r="G47" i="19"/>
  <c r="B49" i="19"/>
  <c r="G49" i="19"/>
  <c r="B51" i="19"/>
  <c r="G51" i="19"/>
  <c r="B53" i="19"/>
  <c r="G53" i="19"/>
  <c r="B55" i="19"/>
  <c r="G55" i="19"/>
  <c r="B57" i="19"/>
  <c r="G57" i="19"/>
  <c r="B59" i="19"/>
  <c r="G59" i="19"/>
  <c r="B61" i="19"/>
  <c r="G61" i="19"/>
  <c r="B63" i="19"/>
  <c r="G63" i="19"/>
  <c r="B65" i="19"/>
  <c r="G65" i="19"/>
  <c r="B67" i="19"/>
  <c r="G67" i="19"/>
  <c r="B69" i="19"/>
  <c r="G69" i="19"/>
  <c r="B71" i="19"/>
  <c r="G71" i="19"/>
  <c r="B73" i="19"/>
  <c r="G73" i="19"/>
  <c r="B75" i="19"/>
  <c r="G75" i="19"/>
  <c r="B77" i="19"/>
  <c r="G77" i="19"/>
  <c r="B79" i="19"/>
  <c r="G79" i="19"/>
  <c r="D80" i="19"/>
  <c r="G20" i="19"/>
  <c r="F20" i="19"/>
  <c r="F22" i="19"/>
  <c r="F24" i="19"/>
  <c r="F26" i="19"/>
  <c r="F28" i="19"/>
  <c r="F30" i="19"/>
  <c r="F32" i="19"/>
  <c r="F34" i="19"/>
  <c r="F36" i="19"/>
  <c r="F38" i="19"/>
  <c r="F40" i="19"/>
  <c r="F42" i="19"/>
  <c r="F44" i="19"/>
  <c r="F46" i="19"/>
  <c r="F48" i="19"/>
  <c r="F50" i="19"/>
  <c r="F52" i="19"/>
  <c r="F54" i="19"/>
  <c r="F56" i="19"/>
  <c r="F58" i="19"/>
  <c r="F60" i="19"/>
  <c r="F62" i="19"/>
  <c r="F64" i="19"/>
  <c r="F66" i="19"/>
  <c r="F68" i="19"/>
  <c r="F70" i="19"/>
  <c r="F72" i="19"/>
  <c r="F74" i="19"/>
  <c r="F76" i="19"/>
  <c r="F78" i="19"/>
  <c r="B21" i="19"/>
  <c r="G21" i="19"/>
  <c r="B22" i="19"/>
  <c r="G22" i="19"/>
  <c r="B24" i="19"/>
  <c r="G24" i="19"/>
  <c r="B26" i="19"/>
  <c r="G26" i="19"/>
  <c r="B28" i="19"/>
  <c r="G28" i="19"/>
  <c r="B30" i="19"/>
  <c r="G30" i="19"/>
  <c r="B32" i="19"/>
  <c r="G32" i="19"/>
  <c r="B34" i="19"/>
  <c r="G34" i="19"/>
  <c r="B36" i="19"/>
  <c r="G36" i="19"/>
  <c r="B38" i="19"/>
  <c r="G38" i="19"/>
  <c r="B40" i="19"/>
  <c r="G40" i="19"/>
  <c r="B42" i="19"/>
  <c r="G42" i="19"/>
  <c r="B44" i="19"/>
  <c r="G44" i="19"/>
  <c r="B46" i="19"/>
  <c r="G46" i="19"/>
  <c r="B48" i="19"/>
  <c r="G48" i="19"/>
  <c r="B50" i="19"/>
  <c r="G50" i="19"/>
  <c r="B52" i="19"/>
  <c r="G52" i="19"/>
  <c r="B54" i="19"/>
  <c r="G54" i="19"/>
  <c r="B56" i="19"/>
  <c r="G56" i="19"/>
  <c r="B58" i="19"/>
  <c r="G58" i="19"/>
  <c r="B60" i="19"/>
  <c r="G60" i="19"/>
  <c r="B62" i="19"/>
  <c r="G62" i="19"/>
  <c r="B64" i="19"/>
  <c r="G64" i="19"/>
  <c r="B66" i="19"/>
  <c r="G66" i="19"/>
  <c r="B68" i="19"/>
  <c r="G68" i="19"/>
  <c r="B70" i="19"/>
  <c r="G70" i="19"/>
  <c r="B72" i="19"/>
  <c r="G72" i="19"/>
  <c r="B74" i="19"/>
  <c r="G74" i="19"/>
  <c r="B76" i="19"/>
  <c r="G76" i="19"/>
  <c r="B78" i="19"/>
  <c r="G78" i="19"/>
  <c r="C80" i="19"/>
  <c r="B71" i="22"/>
  <c r="A72" i="22"/>
  <c r="F74" i="20"/>
  <c r="G18" i="20"/>
  <c r="G20" i="20"/>
  <c r="G22" i="20"/>
  <c r="G24" i="20"/>
  <c r="G26" i="20"/>
  <c r="G17" i="20"/>
  <c r="G28" i="20"/>
  <c r="G19" i="20"/>
  <c r="G30" i="20"/>
  <c r="G21" i="20"/>
  <c r="G32" i="20"/>
  <c r="G23" i="20"/>
  <c r="G34" i="20"/>
  <c r="G25" i="20"/>
  <c r="G36" i="20"/>
  <c r="G27" i="20"/>
  <c r="G38" i="20"/>
  <c r="G29" i="20"/>
  <c r="G40" i="20"/>
  <c r="G31" i="20"/>
  <c r="G42" i="20"/>
  <c r="G33" i="20"/>
  <c r="G44" i="20"/>
  <c r="G35" i="20"/>
  <c r="G46" i="20"/>
  <c r="G37" i="20"/>
  <c r="G48" i="20"/>
  <c r="G39" i="20"/>
  <c r="G50" i="20"/>
  <c r="G41" i="20"/>
  <c r="G52" i="20"/>
  <c r="G43" i="20"/>
  <c r="G54" i="20"/>
  <c r="G45" i="20"/>
  <c r="G56" i="20"/>
  <c r="G47" i="20"/>
  <c r="G58" i="20"/>
  <c r="G49" i="20"/>
  <c r="G60" i="20"/>
  <c r="G51" i="20"/>
  <c r="G62" i="20"/>
  <c r="G53" i="20"/>
  <c r="G64" i="20"/>
  <c r="G55" i="20"/>
  <c r="G66" i="20"/>
  <c r="G57" i="20"/>
  <c r="G68" i="20"/>
  <c r="G59" i="20"/>
  <c r="G70" i="20"/>
  <c r="G61" i="20"/>
  <c r="G72" i="20"/>
  <c r="G63" i="20"/>
  <c r="G74" i="20"/>
  <c r="G65" i="20"/>
  <c r="G67" i="20"/>
  <c r="G69" i="20"/>
  <c r="G71" i="20"/>
  <c r="G73" i="20"/>
  <c r="G75" i="20"/>
  <c r="B72" i="22"/>
  <c r="A73" i="22"/>
  <c r="B73" i="22"/>
  <c r="A74" i="22"/>
  <c r="B74" i="22"/>
  <c r="A75" i="22"/>
  <c r="B75" i="22"/>
  <c r="A76" i="22"/>
  <c r="B76" i="22"/>
  <c r="A77" i="22"/>
  <c r="B77" i="22"/>
  <c r="A78" i="22"/>
  <c r="B78" i="22"/>
  <c r="A79" i="22"/>
  <c r="B79" i="22"/>
  <c r="A80" i="22"/>
  <c r="B80" i="22"/>
  <c r="A81" i="22"/>
  <c r="B81" i="22"/>
  <c r="A82" i="22"/>
  <c r="B82" i="22"/>
  <c r="A83" i="22"/>
  <c r="B83" i="22"/>
  <c r="A84" i="22"/>
  <c r="B84" i="22"/>
  <c r="A85" i="22"/>
  <c r="B85" i="22"/>
  <c r="A86" i="22"/>
  <c r="B86" i="22"/>
  <c r="A87" i="22"/>
  <c r="B87" i="22"/>
  <c r="A88" i="22"/>
  <c r="B88" i="22"/>
  <c r="A89" i="22"/>
  <c r="B89" i="22"/>
  <c r="A90" i="22"/>
  <c r="B90" i="22"/>
  <c r="A91" i="22"/>
  <c r="B91" i="22"/>
  <c r="A92" i="22"/>
  <c r="B92" i="22"/>
  <c r="A93" i="22"/>
  <c r="B93" i="22"/>
  <c r="A94" i="22"/>
  <c r="B94" i="22"/>
  <c r="A95" i="22"/>
  <c r="B95" i="22"/>
  <c r="A96" i="22"/>
  <c r="B96" i="22"/>
  <c r="A97" i="22"/>
  <c r="B97" i="22"/>
  <c r="A98" i="22"/>
  <c r="B98" i="22"/>
  <c r="A99" i="22"/>
  <c r="B99" i="22"/>
</calcChain>
</file>

<file path=xl/sharedStrings.xml><?xml version="1.0" encoding="utf-8"?>
<sst xmlns="http://schemas.openxmlformats.org/spreadsheetml/2006/main" count="231" uniqueCount="130">
  <si>
    <t>Названия строк</t>
  </si>
  <si>
    <t>Названия столбцов</t>
  </si>
  <si>
    <t>Значения</t>
  </si>
  <si>
    <t>Фильтр отчета</t>
  </si>
  <si>
    <t>type</t>
  </si>
  <si>
    <t>тип</t>
  </si>
  <si>
    <t>Future value</t>
  </si>
  <si>
    <t>fv</t>
  </si>
  <si>
    <t>бс</t>
  </si>
  <si>
    <t>Present value (Loan amount)</t>
  </si>
  <si>
    <t>pv</t>
  </si>
  <si>
    <t>пс</t>
  </si>
  <si>
    <t>Months</t>
  </si>
  <si>
    <t>nper</t>
  </si>
  <si>
    <t>кпер</t>
  </si>
  <si>
    <t>Число периодов</t>
  </si>
  <si>
    <t>Interest rate</t>
  </si>
  <si>
    <t>rate</t>
  </si>
  <si>
    <t>ставка</t>
  </si>
  <si>
    <t>% годовой</t>
  </si>
  <si>
    <t>% в месяц</t>
  </si>
  <si>
    <t>Тип выплаты</t>
  </si>
  <si>
    <t>Параметр</t>
  </si>
  <si>
    <t>Значение</t>
  </si>
  <si>
    <t>Аргумент в ПЛТ()</t>
  </si>
  <si>
    <t>Перевод</t>
  </si>
  <si>
    <t>Ежемесячный платеж</t>
  </si>
  <si>
    <t>Ежемесячный платеж (аннуитет)</t>
  </si>
  <si>
    <t>ПЛТ()</t>
  </si>
  <si>
    <t>Формула</t>
  </si>
  <si>
    <t>Остаток в конце</t>
  </si>
  <si>
    <t>Период (№месяца)</t>
  </si>
  <si>
    <t>Платеж</t>
  </si>
  <si>
    <t>Баланс на начало периода</t>
  </si>
  <si>
    <t>Тело кредита</t>
  </si>
  <si>
    <t>Процент</t>
  </si>
  <si>
    <t>Баланс на конец периода (остаток)</t>
  </si>
  <si>
    <t>Итог</t>
  </si>
  <si>
    <t>Суммарные %</t>
  </si>
  <si>
    <t>Погашенный кредит</t>
  </si>
  <si>
    <t>Начальный период</t>
  </si>
  <si>
    <t>Конечный период</t>
  </si>
  <si>
    <t>Суммы нарастающим итогом (бс=0)</t>
  </si>
  <si>
    <t>Эквивалентная формула</t>
  </si>
  <si>
    <t>Таблица ежемесячных платежей (с использованием Финансовых функций EXCEL)</t>
  </si>
  <si>
    <t>Таблица ежемесячных платежей (без использования финансовых функций EXCEL)</t>
  </si>
  <si>
    <t>Всего погашено кредита</t>
  </si>
  <si>
    <t>Рассчитайте аннуитет при кредите 10 000 рублей под 15% годовых сроком на 2 года</t>
  </si>
  <si>
    <t>Задача1</t>
  </si>
  <si>
    <t>Данные</t>
  </si>
  <si>
    <t>Срок</t>
  </si>
  <si>
    <t xml:space="preserve">Кредит </t>
  </si>
  <si>
    <t>Ставка, годовой %</t>
  </si>
  <si>
    <t>Решение</t>
  </si>
  <si>
    <t>1. Аннуитет ежемесячный</t>
  </si>
  <si>
    <t>2. Число периодов</t>
  </si>
  <si>
    <t>3. Ставка в месяц</t>
  </si>
  <si>
    <t>4. Аннуитет</t>
  </si>
  <si>
    <t>мес</t>
  </si>
  <si>
    <t>Задача2</t>
  </si>
  <si>
    <t>Будущая стоимость</t>
  </si>
  <si>
    <t>лет</t>
  </si>
  <si>
    <t>Задача3</t>
  </si>
  <si>
    <t xml:space="preserve">Какую сумму ежемесячно нужно вносить на счет, чтобы через 5 лет накопить 1 000 000 руб? Капитализация процентов происходит ежемесячно, ставка 5% </t>
  </si>
  <si>
    <t>Кредит</t>
  </si>
  <si>
    <t>Ставка, ежемес. %</t>
  </si>
  <si>
    <t>Банк предоставляет кредит сроком на 15 лет под 12 % годовых для покупки станка стоимостью 500 000 руб. Сколько необходимо выплачивать ежемесячно, чтобы погасить кредит в полном размере к концу срока?</t>
  </si>
  <si>
    <t>Задача4</t>
  </si>
  <si>
    <r>
      <t xml:space="preserve">Сбербанк прислал в 2014г. СМС сообщение: </t>
    </r>
    <r>
      <rPr>
        <i/>
        <sz val="11"/>
        <color theme="1"/>
        <rFont val="Calibri"/>
        <family val="2"/>
        <charset val="204"/>
        <scheme val="minor"/>
      </rPr>
      <t>Вам одобрен кредит на 200 тыс. руб. на 5 лет, ежемесячный платеж составляет 5581 руб.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</si>
  <si>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Определить годовую ставку, общую сумму переплаты и оставшуюся часть долга к концу первого года.</t>
  </si>
  <si>
    <t>Срок вклада, лет</t>
  </si>
  <si>
    <t>Число периодов в году</t>
  </si>
  <si>
    <t>Число периодов всего</t>
  </si>
  <si>
    <t>% за период</t>
  </si>
  <si>
    <t>Погашено к концу 1 года</t>
  </si>
  <si>
    <t>Сумма переплаты за весь срок</t>
  </si>
  <si>
    <t>0- в конце, 1 - в начале периода</t>
  </si>
  <si>
    <t>Платеж за период</t>
  </si>
  <si>
    <t>c</t>
  </si>
  <si>
    <t>b</t>
  </si>
  <si>
    <r>
      <t>y=c*exp</t>
    </r>
    <r>
      <rPr>
        <b/>
        <vertAlign val="superscript"/>
        <sz val="11"/>
        <color theme="1"/>
        <rFont val="Calibri"/>
        <family val="2"/>
        <charset val="204"/>
        <scheme val="minor"/>
      </rPr>
      <t>bx</t>
    </r>
  </si>
  <si>
    <t>Число платежей в год</t>
  </si>
  <si>
    <t>Срок кредита, лет</t>
  </si>
  <si>
    <t>Исследование характера зависимости размера выплаты от параметров функции ПЛТ()</t>
  </si>
  <si>
    <t>Шаг</t>
  </si>
  <si>
    <t>Зависимость суммы платежа от размера ссуды</t>
  </si>
  <si>
    <t>Зависимость линейная y=ax+b</t>
  </si>
  <si>
    <t>tg угла наклона =a</t>
  </si>
  <si>
    <t>Смещение b</t>
  </si>
  <si>
    <t>Размер ссуды</t>
  </si>
  <si>
    <t>Ставка</t>
  </si>
  <si>
    <t>Зависимость суммы платежа от ставки</t>
  </si>
  <si>
    <t>Зависимость суммы идущей на погашение долга от номера периода</t>
  </si>
  <si>
    <t>Баланс на конец периода (остаток)2</t>
  </si>
  <si>
    <t>Период</t>
  </si>
  <si>
    <t>Лет</t>
  </si>
  <si>
    <t>Зависимость суммы платежа от срока ссуды</t>
  </si>
  <si>
    <t>Зависимость близкая к линейной, для ставки &gt;5% (при данных условиях)</t>
  </si>
  <si>
    <t>год</t>
  </si>
  <si>
    <t>Аннуитетный график для накопления определённой суммы к заданному моменту времени</t>
  </si>
  <si>
    <t>Начальный вклад</t>
  </si>
  <si>
    <t>Целевое значение вклада в конце срока</t>
  </si>
  <si>
    <t>Число платежей в год (капитализация процентов в год)</t>
  </si>
  <si>
    <t>Сумма платежа</t>
  </si>
  <si>
    <t>Сумма вклада в конце периода</t>
  </si>
  <si>
    <t>Начисленный % за период</t>
  </si>
  <si>
    <t>Пополнение вклада за период</t>
  </si>
  <si>
    <t>Регулярный взнос</t>
  </si>
  <si>
    <t>Сумма вклада в конце периода, сформированная за счет %</t>
  </si>
  <si>
    <t>Сумма вклада в конце периода, сформированная за счет взносов</t>
  </si>
  <si>
    <t>Баланс на начало периода2</t>
  </si>
  <si>
    <t>Погашение кредита по аннуитетной схеме (соотношение доли идущей на погашение основной суммы долга и доли на оплату %)</t>
  </si>
  <si>
    <t>Формулы эквивалентные ОСПЛТ()</t>
  </si>
  <si>
    <t>ОСПЛТ1</t>
  </si>
  <si>
    <t>ОСПЛТ2</t>
  </si>
  <si>
    <t>проверка</t>
  </si>
  <si>
    <t>Год 1</t>
  </si>
  <si>
    <t>Год 2</t>
  </si>
  <si>
    <t>Год 3</t>
  </si>
  <si>
    <t>Год 4</t>
  </si>
  <si>
    <t>Капитализация - ежемесячно</t>
  </si>
  <si>
    <t>Погашение кредита полностью (БС=0), платежи в конце периода (тип=0)</t>
  </si>
  <si>
    <t>Процент (вариант расчет 2)</t>
  </si>
  <si>
    <t>ПРПЛТ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</si>
  <si>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</si>
  <si>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</si>
  <si>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</si>
  <si>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</si>
  <si>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</si>
  <si>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Аннуитет. Обзор функций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</si>
</sst>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#,##0.00&quot;р.&quot;;[Red]\-#,##0.00&quot;р.&quot;"/>
    <numFmt numFmtId="164" formatCode="_(&quot;$&quot;* #,##0.00_);_(&quot;$&quot;* \(#,##0.00\);_(&quot;$&quot;* &quot;-&quot;??_);_(@_)"/>
    <numFmt numFmtId="165" formatCode="0.0%"/>
    <numFmt numFmtId="166" formatCode="0.000%"/>
    <numFmt numFmtId="167" formatCode="0.000"/>
    <numFmt numFmtId="168" formatCode="0.0"/>
    <numFmt numFmtId="169" formatCode="#,##0.000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0000"/>
        <bgColor theme="4" tint="0.5999938962981048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0" fontId="17" fillId="0" borderId="0"/>
    <xf numFmtId="0" fontId="18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1" fillId="0" borderId="0" xfId="0" applyFont="1"/>
    <xf numFmtId="0" fontId="2" fillId="0" borderId="0" xfId="1"/>
    <xf numFmtId="0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0" fillId="0" borderId="12" xfId="0" applyBorder="1"/>
    <xf numFmtId="165" fontId="7" fillId="0" borderId="12" xfId="5" applyNumberFormat="1" applyFont="1" applyBorder="1"/>
    <xf numFmtId="166" fontId="0" fillId="0" borderId="0" xfId="5" applyNumberFormat="1" applyFont="1"/>
    <xf numFmtId="0" fontId="7" fillId="0" borderId="12" xfId="0" applyFont="1" applyBorder="1"/>
    <xf numFmtId="4" fontId="0" fillId="0" borderId="12" xfId="0" applyNumberFormat="1" applyBorder="1"/>
    <xf numFmtId="0" fontId="1" fillId="0" borderId="12" xfId="0" applyFont="1" applyBorder="1"/>
    <xf numFmtId="0" fontId="0" fillId="0" borderId="0" xfId="0" applyBorder="1"/>
    <xf numFmtId="8" fontId="0" fillId="0" borderId="12" xfId="0" applyNumberFormat="1" applyBorder="1"/>
    <xf numFmtId="0" fontId="1" fillId="0" borderId="12" xfId="0" applyFont="1" applyFill="1" applyBorder="1"/>
    <xf numFmtId="8" fontId="0" fillId="0" borderId="0" xfId="0" applyNumberFormat="1" applyBorder="1"/>
    <xf numFmtId="4" fontId="7" fillId="0" borderId="12" xfId="0" applyNumberFormat="1" applyFont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2" xfId="0" applyFont="1" applyBorder="1" applyAlignment="1">
      <alignment wrapText="1"/>
    </xf>
    <xf numFmtId="10" fontId="0" fillId="0" borderId="0" xfId="5" applyNumberFormat="1" applyFont="1"/>
    <xf numFmtId="8" fontId="1" fillId="0" borderId="0" xfId="0" applyNumberFormat="1" applyFont="1"/>
    <xf numFmtId="0" fontId="1" fillId="2" borderId="0" xfId="0" applyFont="1" applyFill="1"/>
    <xf numFmtId="0" fontId="0" fillId="2" borderId="0" xfId="0" applyFill="1"/>
    <xf numFmtId="2" fontId="1" fillId="2" borderId="0" xfId="0" applyNumberFormat="1" applyFont="1" applyFill="1"/>
    <xf numFmtId="0" fontId="0" fillId="0" borderId="0" xfId="0" applyFont="1"/>
    <xf numFmtId="0" fontId="10" fillId="0" borderId="12" xfId="0" applyFont="1" applyBorder="1"/>
    <xf numFmtId="10" fontId="10" fillId="0" borderId="12" xfId="5" applyNumberFormat="1" applyFont="1" applyBorder="1"/>
    <xf numFmtId="10" fontId="10" fillId="0" borderId="12" xfId="0" applyNumberFormat="1" applyFont="1" applyBorder="1"/>
    <xf numFmtId="0" fontId="8" fillId="3" borderId="13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/>
    </xf>
    <xf numFmtId="0" fontId="8" fillId="3" borderId="14" xfId="0" applyFont="1" applyFill="1" applyBorder="1" applyAlignment="1">
      <alignment horizontal="left" vertical="top" wrapText="1"/>
    </xf>
    <xf numFmtId="0" fontId="0" fillId="4" borderId="15" xfId="0" applyNumberFormat="1" applyFont="1" applyFill="1" applyBorder="1"/>
    <xf numFmtId="8" fontId="0" fillId="4" borderId="15" xfId="0" applyNumberFormat="1" applyFill="1" applyBorder="1"/>
    <xf numFmtId="8" fontId="0" fillId="4" borderId="16" xfId="0" applyNumberFormat="1" applyFill="1" applyBorder="1"/>
    <xf numFmtId="8" fontId="0" fillId="5" borderId="16" xfId="0" applyNumberFormat="1" applyFill="1" applyBorder="1"/>
    <xf numFmtId="0" fontId="0" fillId="4" borderId="17" xfId="0" applyNumberFormat="1" applyFont="1" applyFill="1" applyBorder="1"/>
    <xf numFmtId="8" fontId="0" fillId="4" borderId="17" xfId="0" applyNumberFormat="1" applyFill="1" applyBorder="1"/>
    <xf numFmtId="8" fontId="0" fillId="4" borderId="0" xfId="0" applyNumberFormat="1" applyFill="1" applyBorder="1"/>
    <xf numFmtId="0" fontId="0" fillId="4" borderId="17" xfId="0" applyFill="1" applyBorder="1"/>
    <xf numFmtId="0" fontId="10" fillId="4" borderId="17" xfId="0" applyFont="1" applyFill="1" applyBorder="1"/>
    <xf numFmtId="0" fontId="0" fillId="0" borderId="12" xfId="0" applyFill="1" applyBorder="1"/>
    <xf numFmtId="9" fontId="0" fillId="0" borderId="12" xfId="5" applyFont="1" applyBorder="1"/>
    <xf numFmtId="0" fontId="0" fillId="0" borderId="12" xfId="0" applyFill="1" applyBorder="1" applyAlignment="1">
      <alignment wrapText="1"/>
    </xf>
    <xf numFmtId="0" fontId="0" fillId="0" borderId="12" xfId="0" applyFont="1" applyBorder="1"/>
    <xf numFmtId="9" fontId="0" fillId="0" borderId="12" xfId="0" applyNumberFormat="1" applyBorder="1"/>
    <xf numFmtId="165" fontId="10" fillId="0" borderId="12" xfId="5" applyNumberFormat="1" applyFont="1" applyBorder="1"/>
    <xf numFmtId="4" fontId="1" fillId="0" borderId="12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68" fontId="0" fillId="0" borderId="12" xfId="0" applyNumberFormat="1" applyBorder="1"/>
    <xf numFmtId="167" fontId="0" fillId="0" borderId="12" xfId="0" applyNumberFormat="1" applyBorder="1"/>
    <xf numFmtId="1" fontId="7" fillId="0" borderId="12" xfId="5" applyNumberFormat="1" applyFont="1" applyBorder="1"/>
    <xf numFmtId="3" fontId="7" fillId="0" borderId="12" xfId="0" applyNumberFormat="1" applyFont="1" applyBorder="1"/>
    <xf numFmtId="0" fontId="1" fillId="0" borderId="7" xfId="0" applyFont="1" applyFill="1" applyBorder="1"/>
    <xf numFmtId="3" fontId="0" fillId="0" borderId="12" xfId="0" applyNumberFormat="1" applyBorder="1"/>
    <xf numFmtId="10" fontId="0" fillId="0" borderId="0" xfId="0" applyNumberFormat="1"/>
    <xf numFmtId="0" fontId="0" fillId="0" borderId="0" xfId="0" applyFill="1" applyBorder="1"/>
    <xf numFmtId="165" fontId="0" fillId="0" borderId="12" xfId="0" applyNumberFormat="1" applyBorder="1"/>
    <xf numFmtId="1" fontId="0" fillId="0" borderId="12" xfId="0" applyNumberFormat="1" applyBorder="1"/>
    <xf numFmtId="0" fontId="0" fillId="0" borderId="12" xfId="0" applyBorder="1" applyAlignment="1">
      <alignment wrapText="1"/>
    </xf>
    <xf numFmtId="4" fontId="0" fillId="0" borderId="0" xfId="0" applyNumberFormat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169" fontId="0" fillId="0" borderId="0" xfId="0" applyNumberFormat="1"/>
    <xf numFmtId="8" fontId="12" fillId="0" borderId="0" xfId="0" applyNumberFormat="1" applyFont="1"/>
    <xf numFmtId="8" fontId="0" fillId="0" borderId="0" xfId="0" applyNumberFormat="1" applyAlignment="1">
      <alignment wrapText="1"/>
    </xf>
    <xf numFmtId="0" fontId="0" fillId="0" borderId="0" xfId="0" quotePrefix="1" applyAlignment="1"/>
    <xf numFmtId="2" fontId="0" fillId="0" borderId="12" xfId="0" applyNumberFormat="1" applyBorder="1"/>
    <xf numFmtId="0" fontId="13" fillId="7" borderId="0" xfId="0" applyFont="1" applyFill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4" fontId="14" fillId="0" borderId="0" xfId="0" applyNumberFormat="1" applyFont="1"/>
    <xf numFmtId="0" fontId="0" fillId="0" borderId="18" xfId="0" applyFill="1" applyBorder="1"/>
    <xf numFmtId="0" fontId="16" fillId="11" borderId="0" xfId="1" applyFont="1" applyFill="1" applyAlignment="1">
      <alignment vertical="center" wrapText="1"/>
    </xf>
    <xf numFmtId="0" fontId="15" fillId="10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10" borderId="0" xfId="8" applyFont="1" applyFill="1" applyAlignment="1" applyProtection="1">
      <alignment vertical="center"/>
    </xf>
    <xf numFmtId="0" fontId="19" fillId="12" borderId="0" xfId="0" applyFont="1" applyFill="1" applyAlignment="1"/>
    <xf numFmtId="0" fontId="20" fillId="12" borderId="0" xfId="0" applyFont="1" applyFill="1" applyAlignment="1">
      <alignment vertical="center"/>
    </xf>
    <xf numFmtId="0" fontId="5" fillId="12" borderId="0" xfId="4" applyFill="1" applyAlignment="1" applyProtection="1"/>
  </cellXfs>
  <cellStyles count="9">
    <cellStyle name="Currency_TapePivot" xfId="3"/>
    <cellStyle name="Normal_ALLOC1" xfId="6"/>
    <cellStyle name="Гиперссылка" xfId="4" builtinId="8"/>
    <cellStyle name="Гиперссылка 2" xfId="2"/>
    <cellStyle name="Гиперссылка 3" xfId="8"/>
    <cellStyle name="Обычный" xfId="0" builtinId="0"/>
    <cellStyle name="Обычный 2" xfId="1"/>
    <cellStyle name="Обычный 3" xfId="7"/>
    <cellStyle name="Процентный" xfId="5" builtinId="5"/>
  </cellStyles>
  <dxfs count="52"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/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numFmt numFmtId="12" formatCode="#,##0.00&quot;р.&quot;;[Red]\-#,##0.00&quot;р.&quot;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/>
        <right style="thin">
          <color theme="0"/>
        </right>
        <top/>
        <bottom/>
      </border>
    </dxf>
    <dxf>
      <border outline="0">
        <bottom style="thin">
          <color theme="0"/>
        </bottom>
      </border>
    </dxf>
    <dxf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general" vertical="top" textRotation="0" wrapText="1" 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  <alignment horizontal="general" vertical="bottom" textRotation="0" wrapText="1" relativeIndent="0" justifyLastLine="0" shrinkToFit="0" readingOrder="0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2" formatCode="#,##0.00&quot;р.&quot;;[Red]\-#,##0.00&quot;р.&quot;"/>
    </dxf>
    <dxf>
      <numFmt numFmtId="12" formatCode="#,##0.00&quot;р.&quot;;[Red]\-#,##0.00&quot;р.&quot;"/>
    </dxf>
    <dxf>
      <numFmt numFmtId="12" formatCode="#,##0.00&quot;р.&quot;;[Red]\-#,##0.00&quot;р.&quot;"/>
    </dxf>
    <dxf>
      <numFmt numFmtId="0" formatCode="General"/>
    </dxf>
    <dxf>
      <alignment horizontal="left" vertical="top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'аннуитет (ПЛТ)'!$G$4</c:f>
          <c:strCache>
            <c:ptCount val="1"/>
            <c:pt idx="0">
              <c:v>Погашение кредита по аннуитетной схеме (соотношение доли идущей на погашение основной суммы долга и доли на оплату %)</c:v>
            </c:pt>
          </c:strCache>
        </c:strRef>
      </c:tx>
      <c:layout/>
      <c:overlay val="1"/>
      <c:txPr>
        <a:bodyPr/>
        <a:lstStyle/>
        <a:p>
          <a:pPr>
            <a:defRPr sz="140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333148062374557"/>
          <c:y val="0.23209530899900094"/>
          <c:w val="0.84456352458205086"/>
          <c:h val="0.651305392055551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'аннуитет (ПЛТ)'!$D$19</c:f>
              <c:strCache>
                <c:ptCount val="1"/>
                <c:pt idx="0">
                  <c:v>Тело кредита</c:v>
                </c:pt>
              </c:strCache>
            </c:strRef>
          </c:tx>
          <c:invertIfNegative val="0"/>
          <c:val>
            <c:numRef>
              <c:f>'аннуитет (ПЛТ)'!$D$20:$D$79</c:f>
              <c:numCache>
                <c:formatCode>"р."#,##0.00_);[Red]\("р."#,##0.00\)</c:formatCode>
                <c:ptCount val="60"/>
                <c:pt idx="0">
                  <c:v>-1128.9930086358734</c:v>
                </c:pt>
                <c:pt idx="1">
                  <c:v>-1143.1054212438219</c:v>
                </c:pt>
                <c:pt idx="2">
                  <c:v>-1157.3942390093698</c:v>
                </c:pt>
                <c:pt idx="3">
                  <c:v>-1171.8616669969867</c:v>
                </c:pt>
                <c:pt idx="4">
                  <c:v>-1186.5099378344491</c:v>
                </c:pt>
                <c:pt idx="5">
                  <c:v>-1201.3413120573798</c:v>
                </c:pt>
                <c:pt idx="6">
                  <c:v>-1216.3580784580968</c:v>
                </c:pt>
                <c:pt idx="7">
                  <c:v>-1231.5625544388231</c:v>
                </c:pt>
                <c:pt idx="8">
                  <c:v>-1246.9570863693086</c:v>
                </c:pt>
                <c:pt idx="9">
                  <c:v>-1262.5440499489246</c:v>
                </c:pt>
                <c:pt idx="10">
                  <c:v>-1278.3258505732865</c:v>
                </c:pt>
                <c:pt idx="11">
                  <c:v>-1294.3049237054524</c:v>
                </c:pt>
                <c:pt idx="12">
                  <c:v>-1310.4837352517707</c:v>
                </c:pt>
                <c:pt idx="13">
                  <c:v>-1326.8647819424177</c:v>
                </c:pt>
                <c:pt idx="14">
                  <c:v>-1343.450591716698</c:v>
                </c:pt>
                <c:pt idx="15">
                  <c:v>-1360.2437241131565</c:v>
                </c:pt>
                <c:pt idx="16">
                  <c:v>-1377.2467706645709</c:v>
                </c:pt>
                <c:pt idx="17">
                  <c:v>-1394.4623552978783</c:v>
                </c:pt>
                <c:pt idx="18">
                  <c:v>-1411.8931347391015</c:v>
                </c:pt>
                <c:pt idx="19">
                  <c:v>-1429.5417989233406</c:v>
                </c:pt>
                <c:pt idx="20">
                  <c:v>-1447.4110714098822</c:v>
                </c:pt>
                <c:pt idx="21">
                  <c:v>-1465.5037098025057</c:v>
                </c:pt>
                <c:pt idx="22">
                  <c:v>-1483.822506175037</c:v>
                </c:pt>
                <c:pt idx="23">
                  <c:v>-1502.3702875022252</c:v>
                </c:pt>
                <c:pt idx="24">
                  <c:v>-1521.1499160960027</c:v>
                </c:pt>
                <c:pt idx="25">
                  <c:v>-1540.1642900472029</c:v>
                </c:pt>
                <c:pt idx="26">
                  <c:v>-1559.4163436727929</c:v>
                </c:pt>
                <c:pt idx="27">
                  <c:v>-1578.9090479687027</c:v>
                </c:pt>
                <c:pt idx="28">
                  <c:v>-1598.6454110683114</c:v>
                </c:pt>
                <c:pt idx="29">
                  <c:v>-1618.6284787066654</c:v>
                </c:pt>
                <c:pt idx="30">
                  <c:v>-1638.8613346904988</c:v>
                </c:pt>
                <c:pt idx="31">
                  <c:v>-1659.3471013741298</c:v>
                </c:pt>
                <c:pt idx="32">
                  <c:v>-1680.0889401413067</c:v>
                </c:pt>
                <c:pt idx="33">
                  <c:v>-1701.0900518930728</c:v>
                </c:pt>
                <c:pt idx="34">
                  <c:v>-1722.3536775417363</c:v>
                </c:pt>
                <c:pt idx="35">
                  <c:v>-1743.883098511008</c:v>
                </c:pt>
                <c:pt idx="36">
                  <c:v>-1765.6816372423955</c:v>
                </c:pt>
                <c:pt idx="37">
                  <c:v>-1787.7526577079257</c:v>
                </c:pt>
                <c:pt idx="38">
                  <c:v>-1810.0995659292746</c:v>
                </c:pt>
                <c:pt idx="39">
                  <c:v>-1832.7258105033904</c:v>
                </c:pt>
                <c:pt idx="40">
                  <c:v>-1855.6348831346829</c:v>
                </c:pt>
                <c:pt idx="41">
                  <c:v>-1878.8303191738664</c:v>
                </c:pt>
                <c:pt idx="42">
                  <c:v>-1902.3156981635398</c:v>
                </c:pt>
                <c:pt idx="43">
                  <c:v>-1926.0946443905837</c:v>
                </c:pt>
                <c:pt idx="44">
                  <c:v>-1950.1708274454663</c:v>
                </c:pt>
                <c:pt idx="45">
                  <c:v>-1974.5479627885345</c:v>
                </c:pt>
                <c:pt idx="46">
                  <c:v>-1999.2298123233913</c:v>
                </c:pt>
                <c:pt idx="47">
                  <c:v>-2024.2201849774335</c:v>
                </c:pt>
                <c:pt idx="48">
                  <c:v>-2049.5229372896515</c:v>
                </c:pt>
                <c:pt idx="49">
                  <c:v>-2075.1419740057722</c:v>
                </c:pt>
                <c:pt idx="50">
                  <c:v>-2101.0812486808445</c:v>
                </c:pt>
                <c:pt idx="51">
                  <c:v>-2127.3447642893552</c:v>
                </c:pt>
                <c:pt idx="52">
                  <c:v>-2153.9365738429719</c:v>
                </c:pt>
                <c:pt idx="53">
                  <c:v>-2180.8607810160092</c:v>
                </c:pt>
                <c:pt idx="54">
                  <c:v>-2208.121540778709</c:v>
                </c:pt>
                <c:pt idx="55">
                  <c:v>-2235.7230600384428</c:v>
                </c:pt>
                <c:pt idx="56">
                  <c:v>-2263.6695982889232</c:v>
                </c:pt>
                <c:pt idx="57">
                  <c:v>-2291.965468267535</c:v>
                </c:pt>
                <c:pt idx="58">
                  <c:v>-2320.6150366208794</c:v>
                </c:pt>
                <c:pt idx="59">
                  <c:v>-2349.6227245786404</c:v>
                </c:pt>
              </c:numCache>
            </c:numRef>
          </c:val>
        </c:ser>
        <c:ser>
          <c:idx val="1"/>
          <c:order val="1"/>
          <c:tx>
            <c:strRef>
              <c:f>'аннуитет (ПЛТ)'!$E$19</c:f>
              <c:strCache>
                <c:ptCount val="1"/>
                <c:pt idx="0">
                  <c:v>Процент</c:v>
                </c:pt>
              </c:strCache>
            </c:strRef>
          </c:tx>
          <c:invertIfNegative val="0"/>
          <c:val>
            <c:numRef>
              <c:f>'аннуитет (ПЛТ)'!$E$20:$E$79</c:f>
              <c:numCache>
                <c:formatCode>"р."#,##0.00_);[Red]\("р."#,##0.00\)</c:formatCode>
                <c:ptCount val="60"/>
                <c:pt idx="0">
                  <c:v>-1250</c:v>
                </c:pt>
                <c:pt idx="1">
                  <c:v>-1235.8875873920513</c:v>
                </c:pt>
                <c:pt idx="2">
                  <c:v>-1221.5987696265038</c:v>
                </c:pt>
                <c:pt idx="3">
                  <c:v>-1207.1313416388866</c:v>
                </c:pt>
                <c:pt idx="4">
                  <c:v>-1192.4830708014242</c:v>
                </c:pt>
                <c:pt idx="5">
                  <c:v>-1177.6516965784938</c:v>
                </c:pt>
                <c:pt idx="6">
                  <c:v>-1162.6349301777761</c:v>
                </c:pt>
                <c:pt idx="7">
                  <c:v>-1147.4304541970503</c:v>
                </c:pt>
                <c:pt idx="8">
                  <c:v>-1132.035922266565</c:v>
                </c:pt>
                <c:pt idx="9">
                  <c:v>-1116.4489586869486</c:v>
                </c:pt>
                <c:pt idx="10">
                  <c:v>-1100.6671580625871</c:v>
                </c:pt>
                <c:pt idx="11">
                  <c:v>-1084.6880849304207</c:v>
                </c:pt>
                <c:pt idx="12">
                  <c:v>-1068.5092733841029</c:v>
                </c:pt>
                <c:pt idx="13">
                  <c:v>-1052.1282266934554</c:v>
                </c:pt>
                <c:pt idx="14">
                  <c:v>-1035.5424169191751</c:v>
                </c:pt>
                <c:pt idx="15">
                  <c:v>-1018.7492845227166</c:v>
                </c:pt>
                <c:pt idx="16">
                  <c:v>-1001.746237971302</c:v>
                </c:pt>
                <c:pt idx="17">
                  <c:v>-984.53065333799509</c:v>
                </c:pt>
                <c:pt idx="18">
                  <c:v>-967.09987389677121</c:v>
                </c:pt>
                <c:pt idx="19">
                  <c:v>-949.45120971253266</c:v>
                </c:pt>
                <c:pt idx="20">
                  <c:v>-931.58193722599094</c:v>
                </c:pt>
                <c:pt idx="21">
                  <c:v>-913.48929883336746</c:v>
                </c:pt>
                <c:pt idx="22">
                  <c:v>-895.17050246083613</c:v>
                </c:pt>
                <c:pt idx="23">
                  <c:v>-876.62272113364804</c:v>
                </c:pt>
                <c:pt idx="24">
                  <c:v>-857.84309253987044</c:v>
                </c:pt>
                <c:pt idx="25">
                  <c:v>-838.82871858867031</c:v>
                </c:pt>
                <c:pt idx="26">
                  <c:v>-819.57666496308025</c:v>
                </c:pt>
                <c:pt idx="27">
                  <c:v>-800.08396066717035</c:v>
                </c:pt>
                <c:pt idx="28">
                  <c:v>-780.34759756756171</c:v>
                </c:pt>
                <c:pt idx="29">
                  <c:v>-760.36452992920783</c:v>
                </c:pt>
                <c:pt idx="30">
                  <c:v>-740.13167394537447</c:v>
                </c:pt>
                <c:pt idx="31">
                  <c:v>-719.64590726174322</c:v>
                </c:pt>
                <c:pt idx="32">
                  <c:v>-698.90406849456656</c:v>
                </c:pt>
                <c:pt idx="33">
                  <c:v>-677.90295674280026</c:v>
                </c:pt>
                <c:pt idx="34">
                  <c:v>-656.63933109413699</c:v>
                </c:pt>
                <c:pt idx="35">
                  <c:v>-635.10991012486534</c:v>
                </c:pt>
                <c:pt idx="36">
                  <c:v>-613.31137139347766</c:v>
                </c:pt>
                <c:pt idx="37">
                  <c:v>-591.24035092794759</c:v>
                </c:pt>
                <c:pt idx="38">
                  <c:v>-568.89344270659865</c:v>
                </c:pt>
                <c:pt idx="39">
                  <c:v>-546.26719813248258</c:v>
                </c:pt>
                <c:pt idx="40">
                  <c:v>-523.35812550119022</c:v>
                </c:pt>
                <c:pt idx="41">
                  <c:v>-500.16268946200677</c:v>
                </c:pt>
                <c:pt idx="42">
                  <c:v>-476.67731047233343</c:v>
                </c:pt>
                <c:pt idx="43">
                  <c:v>-452.8983642452892</c:v>
                </c:pt>
                <c:pt idx="44">
                  <c:v>-428.82218119040698</c:v>
                </c:pt>
                <c:pt idx="45">
                  <c:v>-404.44504584733858</c:v>
                </c:pt>
                <c:pt idx="46">
                  <c:v>-379.76319631248191</c:v>
                </c:pt>
                <c:pt idx="47">
                  <c:v>-354.77282365843951</c:v>
                </c:pt>
                <c:pt idx="48">
                  <c:v>-329.47007134622163</c:v>
                </c:pt>
                <c:pt idx="49">
                  <c:v>-303.85103463010097</c:v>
                </c:pt>
                <c:pt idx="50">
                  <c:v>-277.9117599550288</c:v>
                </c:pt>
                <c:pt idx="51">
                  <c:v>-251.64824434651825</c:v>
                </c:pt>
                <c:pt idx="52">
                  <c:v>-225.05643479290137</c:v>
                </c:pt>
                <c:pt idx="53">
                  <c:v>-198.13222761986421</c:v>
                </c:pt>
                <c:pt idx="54">
                  <c:v>-170.87146785716411</c:v>
                </c:pt>
                <c:pt idx="55">
                  <c:v>-143.26994859743021</c:v>
                </c:pt>
                <c:pt idx="56">
                  <c:v>-115.3234103469497</c:v>
                </c:pt>
                <c:pt idx="57">
                  <c:v>-87.027540368338165</c:v>
                </c:pt>
                <c:pt idx="58">
                  <c:v>-58.377972014993979</c:v>
                </c:pt>
                <c:pt idx="59">
                  <c:v>-29.370284057232997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26096896"/>
        <c:axId val="126098816"/>
      </c:barChart>
      <c:catAx>
        <c:axId val="126096896"/>
        <c:scaling>
          <c:orientation val="minMax"/>
        </c:scaling>
        <c:delete val="0"/>
        <c:axPos val="b"/>
        <c:majorTickMark val="out"/>
        <c:minorTickMark val="none"/>
        <c:tickLblPos val="high"/>
        <c:crossAx val="126098816"/>
        <c:crossesAt val="0"/>
        <c:auto val="1"/>
        <c:lblAlgn val="ctr"/>
        <c:lblOffset val="100"/>
        <c:noMultiLvlLbl val="0"/>
      </c:catAx>
      <c:valAx>
        <c:axId val="126098816"/>
        <c:scaling>
          <c:orientation val="minMax"/>
        </c:scaling>
        <c:delete val="0"/>
        <c:axPos val="l"/>
        <c:majorGridlines/>
        <c:numFmt formatCode="&quot;р.&quot;#,##0.00_);[Red]\(&quot;р.&quot;#,##0.00\)" sourceLinked="1"/>
        <c:majorTickMark val="out"/>
        <c:minorTickMark val="none"/>
        <c:tickLblPos val="nextTo"/>
        <c:crossAx val="1260968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задачи!$D$52</c:f>
              <c:strCache>
                <c:ptCount val="1"/>
                <c:pt idx="0">
                  <c:v>Тело кредита</c:v>
                </c:pt>
              </c:strCache>
            </c:strRef>
          </c:tx>
          <c:marker>
            <c:symbol val="none"/>
          </c:marker>
          <c:trendline>
            <c:trendlineType val="exp"/>
            <c:dispRSqr val="0"/>
            <c:dispEq val="1"/>
            <c:trendlineLbl>
              <c:layout/>
              <c:numFmt formatCode="General" sourceLinked="0"/>
            </c:trendlineLbl>
          </c:trendline>
          <c:val>
            <c:numRef>
              <c:f>[0]!Тело_кредита</c:f>
              <c:numCache>
                <c:formatCode>General</c:formatCode>
                <c:ptCount val="60"/>
                <c:pt idx="0">
                  <c:v>1128.993008635875</c:v>
                </c:pt>
                <c:pt idx="1">
                  <c:v>1143.1054212438235</c:v>
                </c:pt>
                <c:pt idx="2">
                  <c:v>1157.3942390093709</c:v>
                </c:pt>
                <c:pt idx="3">
                  <c:v>1171.8616669969883</c:v>
                </c:pt>
                <c:pt idx="4">
                  <c:v>1186.5099378344507</c:v>
                </c:pt>
                <c:pt idx="5">
                  <c:v>1201.3413120573814</c:v>
                </c:pt>
                <c:pt idx="6">
                  <c:v>1216.3580784580986</c:v>
                </c:pt>
                <c:pt idx="7">
                  <c:v>1231.5625544388247</c:v>
                </c:pt>
                <c:pt idx="8">
                  <c:v>1246.95708636931</c:v>
                </c:pt>
                <c:pt idx="9">
                  <c:v>1262.5440499489264</c:v>
                </c:pt>
                <c:pt idx="10">
                  <c:v>1278.3258505732877</c:v>
                </c:pt>
                <c:pt idx="11">
                  <c:v>1294.304923705454</c:v>
                </c:pt>
                <c:pt idx="12">
                  <c:v>1310.483735251772</c:v>
                </c:pt>
                <c:pt idx="13">
                  <c:v>1326.8647819424195</c:v>
                </c:pt>
                <c:pt idx="14">
                  <c:v>1343.4505917166996</c:v>
                </c:pt>
                <c:pt idx="15">
                  <c:v>1360.2437241131584</c:v>
                </c:pt>
                <c:pt idx="16">
                  <c:v>1377.2467706645728</c:v>
                </c:pt>
                <c:pt idx="17">
                  <c:v>1394.4623552978801</c:v>
                </c:pt>
                <c:pt idx="18">
                  <c:v>1411.8931347391033</c:v>
                </c:pt>
                <c:pt idx="19">
                  <c:v>1429.541798923342</c:v>
                </c:pt>
                <c:pt idx="20">
                  <c:v>1447.4110714098838</c:v>
                </c:pt>
                <c:pt idx="21">
                  <c:v>1465.5037098025075</c:v>
                </c:pt>
                <c:pt idx="22">
                  <c:v>1483.8225061750388</c:v>
                </c:pt>
                <c:pt idx="23">
                  <c:v>1502.3702875022268</c:v>
                </c:pt>
                <c:pt idx="24">
                  <c:v>1521.1499160960045</c:v>
                </c:pt>
                <c:pt idx="25">
                  <c:v>1540.1642900472045</c:v>
                </c:pt>
                <c:pt idx="26">
                  <c:v>1559.4163436727945</c:v>
                </c:pt>
                <c:pt idx="27">
                  <c:v>1578.9090479687045</c:v>
                </c:pt>
                <c:pt idx="28">
                  <c:v>1598.6454110683133</c:v>
                </c:pt>
                <c:pt idx="29">
                  <c:v>1618.6284787066672</c:v>
                </c:pt>
                <c:pt idx="30">
                  <c:v>1638.8613346905001</c:v>
                </c:pt>
                <c:pt idx="31">
                  <c:v>1659.3471013741319</c:v>
                </c:pt>
                <c:pt idx="32">
                  <c:v>1680.0889401413083</c:v>
                </c:pt>
                <c:pt idx="33">
                  <c:v>1701.0900518930748</c:v>
                </c:pt>
                <c:pt idx="34">
                  <c:v>1722.3536775417379</c:v>
                </c:pt>
                <c:pt idx="35">
                  <c:v>1743.8830985110098</c:v>
                </c:pt>
                <c:pt idx="36">
                  <c:v>1765.6816372423973</c:v>
                </c:pt>
                <c:pt idx="37">
                  <c:v>1787.7526577079275</c:v>
                </c:pt>
                <c:pt idx="38">
                  <c:v>1810.0995659292764</c:v>
                </c:pt>
                <c:pt idx="39">
                  <c:v>1832.7258105033925</c:v>
                </c:pt>
                <c:pt idx="40">
                  <c:v>1855.6348831346847</c:v>
                </c:pt>
                <c:pt idx="41">
                  <c:v>1878.8303191738682</c:v>
                </c:pt>
                <c:pt idx="42">
                  <c:v>1902.3156981635414</c:v>
                </c:pt>
                <c:pt idx="43">
                  <c:v>1926.0946443905857</c:v>
                </c:pt>
                <c:pt idx="44">
                  <c:v>1950.1708274454679</c:v>
                </c:pt>
                <c:pt idx="45">
                  <c:v>1974.5479627885368</c:v>
                </c:pt>
                <c:pt idx="46">
                  <c:v>1999.2298123233929</c:v>
                </c:pt>
                <c:pt idx="47">
                  <c:v>2024.2201849774358</c:v>
                </c:pt>
                <c:pt idx="48">
                  <c:v>2049.5229372896533</c:v>
                </c:pt>
                <c:pt idx="49">
                  <c:v>2075.1419740057745</c:v>
                </c:pt>
                <c:pt idx="50">
                  <c:v>2101.0812486808459</c:v>
                </c:pt>
                <c:pt idx="51">
                  <c:v>2127.3447642893566</c:v>
                </c:pt>
                <c:pt idx="52">
                  <c:v>2153.9365738429738</c:v>
                </c:pt>
                <c:pt idx="53">
                  <c:v>2180.8607810160111</c:v>
                </c:pt>
                <c:pt idx="54">
                  <c:v>2208.1215407787108</c:v>
                </c:pt>
                <c:pt idx="55">
                  <c:v>2235.7230600384451</c:v>
                </c:pt>
                <c:pt idx="56">
                  <c:v>2263.669598288925</c:v>
                </c:pt>
                <c:pt idx="57">
                  <c:v>2291.9654682675373</c:v>
                </c:pt>
                <c:pt idx="58">
                  <c:v>2320.6150366208808</c:v>
                </c:pt>
                <c:pt idx="59">
                  <c:v>2349.6227245786422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'аннуитет (без ПЛТ)'!$E$15</c:f>
              <c:strCache>
                <c:ptCount val="1"/>
                <c:pt idx="0">
                  <c:v>Процент</c:v>
                </c:pt>
              </c:strCache>
            </c:strRef>
          </c:tx>
          <c:marker>
            <c:symbol val="none"/>
          </c:marker>
          <c:val>
            <c:numRef>
              <c:f>[0]!Процент</c:f>
              <c:numCache>
                <c:formatCode>General</c:formatCode>
                <c:ptCount val="60"/>
                <c:pt idx="0">
                  <c:v>1250</c:v>
                </c:pt>
                <c:pt idx="1">
                  <c:v>1235.8875873920515</c:v>
                </c:pt>
                <c:pt idx="2">
                  <c:v>1221.5987696265038</c:v>
                </c:pt>
                <c:pt idx="3">
                  <c:v>1207.1313416388866</c:v>
                </c:pt>
                <c:pt idx="4">
                  <c:v>1192.4830708014242</c:v>
                </c:pt>
                <c:pt idx="5">
                  <c:v>1177.651696578494</c:v>
                </c:pt>
                <c:pt idx="6">
                  <c:v>1162.6349301777764</c:v>
                </c:pt>
                <c:pt idx="7">
                  <c:v>1147.4304541970505</c:v>
                </c:pt>
                <c:pt idx="8">
                  <c:v>1132.0359222665647</c:v>
                </c:pt>
                <c:pt idx="9">
                  <c:v>1116.4489586869486</c:v>
                </c:pt>
                <c:pt idx="10">
                  <c:v>1100.6671580625869</c:v>
                </c:pt>
                <c:pt idx="11">
                  <c:v>1084.6880849304209</c:v>
                </c:pt>
                <c:pt idx="12">
                  <c:v>1068.5092733841029</c:v>
                </c:pt>
                <c:pt idx="13">
                  <c:v>1052.1282266934559</c:v>
                </c:pt>
                <c:pt idx="14">
                  <c:v>1035.5424169191754</c:v>
                </c:pt>
                <c:pt idx="15">
                  <c:v>1018.7492845227169</c:v>
                </c:pt>
                <c:pt idx="16">
                  <c:v>1001.7462379713022</c:v>
                </c:pt>
                <c:pt idx="17">
                  <c:v>984.53065333799486</c:v>
                </c:pt>
                <c:pt idx="18">
                  <c:v>967.09987389677121</c:v>
                </c:pt>
                <c:pt idx="19">
                  <c:v>949.45120971253289</c:v>
                </c:pt>
                <c:pt idx="20">
                  <c:v>931.58193722599094</c:v>
                </c:pt>
                <c:pt idx="21">
                  <c:v>913.48929883336746</c:v>
                </c:pt>
                <c:pt idx="22">
                  <c:v>895.17050246083625</c:v>
                </c:pt>
                <c:pt idx="23">
                  <c:v>876.6227211336485</c:v>
                </c:pt>
                <c:pt idx="24">
                  <c:v>857.84309253987021</c:v>
                </c:pt>
                <c:pt idx="25">
                  <c:v>838.82871858867054</c:v>
                </c:pt>
                <c:pt idx="26">
                  <c:v>819.57666496308002</c:v>
                </c:pt>
                <c:pt idx="27">
                  <c:v>800.08396066717046</c:v>
                </c:pt>
                <c:pt idx="28">
                  <c:v>780.34759756756171</c:v>
                </c:pt>
                <c:pt idx="29">
                  <c:v>760.36452992920795</c:v>
                </c:pt>
                <c:pt idx="30">
                  <c:v>740.13167394537402</c:v>
                </c:pt>
                <c:pt idx="31">
                  <c:v>719.64590726174333</c:v>
                </c:pt>
                <c:pt idx="32">
                  <c:v>698.90406849456645</c:v>
                </c:pt>
                <c:pt idx="33">
                  <c:v>677.90295674280003</c:v>
                </c:pt>
                <c:pt idx="34">
                  <c:v>656.63933109413665</c:v>
                </c:pt>
                <c:pt idx="35">
                  <c:v>635.10991012486534</c:v>
                </c:pt>
                <c:pt idx="36">
                  <c:v>613.31137139347732</c:v>
                </c:pt>
                <c:pt idx="37">
                  <c:v>591.24035092794782</c:v>
                </c:pt>
                <c:pt idx="38">
                  <c:v>568.89344270659831</c:v>
                </c:pt>
                <c:pt idx="39">
                  <c:v>546.26719813248269</c:v>
                </c:pt>
                <c:pt idx="40">
                  <c:v>523.35812550118999</c:v>
                </c:pt>
                <c:pt idx="41">
                  <c:v>500.16268946200631</c:v>
                </c:pt>
                <c:pt idx="42">
                  <c:v>476.67731047233315</c:v>
                </c:pt>
                <c:pt idx="43">
                  <c:v>452.89836424528943</c:v>
                </c:pt>
                <c:pt idx="44">
                  <c:v>428.82218119040658</c:v>
                </c:pt>
                <c:pt idx="45">
                  <c:v>404.44504584733835</c:v>
                </c:pt>
                <c:pt idx="46">
                  <c:v>379.76319631248185</c:v>
                </c:pt>
                <c:pt idx="47">
                  <c:v>354.77282365843962</c:v>
                </c:pt>
                <c:pt idx="48">
                  <c:v>329.4700713462214</c:v>
                </c:pt>
                <c:pt idx="49">
                  <c:v>303.85103463010091</c:v>
                </c:pt>
                <c:pt idx="50">
                  <c:v>277.91175995502817</c:v>
                </c:pt>
                <c:pt idx="51">
                  <c:v>251.64824434651817</c:v>
                </c:pt>
                <c:pt idx="52">
                  <c:v>225.05643479290083</c:v>
                </c:pt>
                <c:pt idx="53">
                  <c:v>198.13222761986398</c:v>
                </c:pt>
                <c:pt idx="54">
                  <c:v>170.87146785716394</c:v>
                </c:pt>
                <c:pt idx="55">
                  <c:v>143.26994859743024</c:v>
                </c:pt>
                <c:pt idx="56">
                  <c:v>115.32341034694981</c:v>
                </c:pt>
                <c:pt idx="57">
                  <c:v>87.027540368338293</c:v>
                </c:pt>
                <c:pt idx="58">
                  <c:v>58.377972014993425</c:v>
                </c:pt>
                <c:pt idx="59">
                  <c:v>29.370284057233217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89824"/>
        <c:axId val="130591744"/>
      </c:lineChart>
      <c:catAx>
        <c:axId val="13058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0591744"/>
        <c:crosses val="autoZero"/>
        <c:auto val="1"/>
        <c:lblAlgn val="ctr"/>
        <c:lblOffset val="100"/>
        <c:noMultiLvlLbl val="0"/>
      </c:catAx>
      <c:valAx>
        <c:axId val="13059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05898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ru-RU" sz="1400"/>
              <a:t>График пополнения вклада</a:t>
            </a:r>
          </a:p>
        </c:rich>
      </c:tx>
      <c:layout/>
      <c:overlay val="1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Вклад!$B$14</c:f>
              <c:strCache>
                <c:ptCount val="1"/>
                <c:pt idx="0">
                  <c:v>Регулярный взнос</c:v>
                </c:pt>
              </c:strCache>
            </c:strRef>
          </c:tx>
          <c:invertIfNegative val="0"/>
          <c:cat>
            <c:numRef>
              <c:f>Вклад!$A$15:$A$50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Вклад!$B$15:$B$50</c:f>
              <c:numCache>
                <c:formatCode>#,##0.00</c:formatCode>
                <c:ptCount val="36"/>
                <c:pt idx="0">
                  <c:v>25421.93745155511</c:v>
                </c:pt>
                <c:pt idx="1">
                  <c:v>25421.93745155511</c:v>
                </c:pt>
                <c:pt idx="2">
                  <c:v>25421.93745155511</c:v>
                </c:pt>
                <c:pt idx="3">
                  <c:v>25421.93745155511</c:v>
                </c:pt>
                <c:pt idx="4">
                  <c:v>25421.93745155511</c:v>
                </c:pt>
                <c:pt idx="5">
                  <c:v>25421.93745155511</c:v>
                </c:pt>
                <c:pt idx="6">
                  <c:v>25421.93745155511</c:v>
                </c:pt>
                <c:pt idx="7">
                  <c:v>25421.93745155511</c:v>
                </c:pt>
                <c:pt idx="8">
                  <c:v>25421.93745155511</c:v>
                </c:pt>
                <c:pt idx="9">
                  <c:v>25421.93745155511</c:v>
                </c:pt>
                <c:pt idx="10">
                  <c:v>25421.93745155511</c:v>
                </c:pt>
                <c:pt idx="11">
                  <c:v>25421.93745155511</c:v>
                </c:pt>
                <c:pt idx="12">
                  <c:v>25421.93745155511</c:v>
                </c:pt>
                <c:pt idx="13">
                  <c:v>25421.93745155511</c:v>
                </c:pt>
                <c:pt idx="14">
                  <c:v>25421.93745155511</c:v>
                </c:pt>
                <c:pt idx="15">
                  <c:v>25421.93745155511</c:v>
                </c:pt>
                <c:pt idx="16">
                  <c:v>25421.93745155511</c:v>
                </c:pt>
                <c:pt idx="17">
                  <c:v>25421.93745155511</c:v>
                </c:pt>
                <c:pt idx="18">
                  <c:v>25421.93745155511</c:v>
                </c:pt>
                <c:pt idx="19">
                  <c:v>25421.93745155511</c:v>
                </c:pt>
                <c:pt idx="20">
                  <c:v>25421.93745155511</c:v>
                </c:pt>
                <c:pt idx="21">
                  <c:v>25421.93745155511</c:v>
                </c:pt>
                <c:pt idx="22">
                  <c:v>25421.93745155511</c:v>
                </c:pt>
                <c:pt idx="23">
                  <c:v>25421.93745155511</c:v>
                </c:pt>
                <c:pt idx="24">
                  <c:v>25421.93745155511</c:v>
                </c:pt>
                <c:pt idx="25">
                  <c:v>25421.93745155511</c:v>
                </c:pt>
                <c:pt idx="26">
                  <c:v>25421.93745155511</c:v>
                </c:pt>
                <c:pt idx="27">
                  <c:v>25421.93745155511</c:v>
                </c:pt>
                <c:pt idx="28">
                  <c:v>25421.93745155511</c:v>
                </c:pt>
                <c:pt idx="29">
                  <c:v>25421.93745155511</c:v>
                </c:pt>
                <c:pt idx="30">
                  <c:v>25421.93745155511</c:v>
                </c:pt>
                <c:pt idx="31">
                  <c:v>25421.93745155511</c:v>
                </c:pt>
                <c:pt idx="32">
                  <c:v>25421.93745155511</c:v>
                </c:pt>
                <c:pt idx="33">
                  <c:v>25421.93745155511</c:v>
                </c:pt>
                <c:pt idx="34">
                  <c:v>25421.93745155511</c:v>
                </c:pt>
                <c:pt idx="35">
                  <c:v>25421.93745155511</c:v>
                </c:pt>
              </c:numCache>
            </c:numRef>
          </c:val>
        </c:ser>
        <c:ser>
          <c:idx val="2"/>
          <c:order val="1"/>
          <c:tx>
            <c:strRef>
              <c:f>Вклад!$C$14</c:f>
              <c:strCache>
                <c:ptCount val="1"/>
                <c:pt idx="0">
                  <c:v>Начисленный % за период</c:v>
                </c:pt>
              </c:strCache>
            </c:strRef>
          </c:tx>
          <c:invertIfNegative val="0"/>
          <c:cat>
            <c:numRef>
              <c:f>Вклад!$A$15:$A$50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Вклад!$C$15:$C$50</c:f>
              <c:numCache>
                <c:formatCode>#,##0.00</c:formatCode>
                <c:ptCount val="36"/>
                <c:pt idx="0">
                  <c:v>0</c:v>
                </c:pt>
                <c:pt idx="1">
                  <c:v>127.1096872577758</c:v>
                </c:pt>
                <c:pt idx="2">
                  <c:v>254.85492295184056</c:v>
                </c:pt>
                <c:pt idx="3">
                  <c:v>383.2388848243753</c:v>
                </c:pt>
                <c:pt idx="4">
                  <c:v>512.2647665062733</c:v>
                </c:pt>
                <c:pt idx="5">
                  <c:v>641.9357775965799</c:v>
                </c:pt>
                <c:pt idx="6">
                  <c:v>772.25514374233728</c:v>
                </c:pt>
                <c:pt idx="7">
                  <c:v>903.22610671882524</c:v>
                </c:pt>
                <c:pt idx="8">
                  <c:v>1034.8519245101954</c:v>
                </c:pt>
                <c:pt idx="9">
                  <c:v>1167.1358713905217</c:v>
                </c:pt>
                <c:pt idx="10">
                  <c:v>1300.0812380052503</c:v>
                </c:pt>
                <c:pt idx="11">
                  <c:v>1433.6913314530516</c:v>
                </c:pt>
                <c:pt idx="12">
                  <c:v>1567.9694753680919</c:v>
                </c:pt>
                <c:pt idx="13">
                  <c:v>1702.9190100027085</c:v>
                </c:pt>
                <c:pt idx="14">
                  <c:v>1838.5432923104975</c:v>
                </c:pt>
                <c:pt idx="15">
                  <c:v>1974.8456960298256</c:v>
                </c:pt>
                <c:pt idx="16">
                  <c:v>2111.8296117677505</c:v>
                </c:pt>
                <c:pt idx="17">
                  <c:v>2249.4984470843647</c:v>
                </c:pt>
                <c:pt idx="18">
                  <c:v>2387.8556265775619</c:v>
                </c:pt>
                <c:pt idx="19">
                  <c:v>2526.9045919682262</c:v>
                </c:pt>
                <c:pt idx="20">
                  <c:v>2666.6488021858422</c:v>
                </c:pt>
                <c:pt idx="21">
                  <c:v>2807.0917334545475</c:v>
                </c:pt>
                <c:pt idx="22">
                  <c:v>2948.2368793795958</c:v>
                </c:pt>
                <c:pt idx="23">
                  <c:v>3090.0877510342689</c:v>
                </c:pt>
                <c:pt idx="24">
                  <c:v>3232.6478770472158</c:v>
                </c:pt>
                <c:pt idx="25">
                  <c:v>3375.9208036902273</c:v>
                </c:pt>
                <c:pt idx="26">
                  <c:v>3519.9100949664544</c:v>
                </c:pt>
                <c:pt idx="27">
                  <c:v>3664.6193326990619</c:v>
                </c:pt>
                <c:pt idx="28">
                  <c:v>3810.052116620333</c:v>
                </c:pt>
                <c:pt idx="29">
                  <c:v>3956.2120644612105</c:v>
                </c:pt>
                <c:pt idx="30">
                  <c:v>4103.1028120412921</c:v>
                </c:pt>
                <c:pt idx="31">
                  <c:v>4250.728013359274</c:v>
                </c:pt>
                <c:pt idx="32">
                  <c:v>4399.0913406838463</c:v>
                </c:pt>
                <c:pt idx="33">
                  <c:v>4548.196484645041</c:v>
                </c:pt>
                <c:pt idx="34">
                  <c:v>4698.0471543260419</c:v>
                </c:pt>
                <c:pt idx="35">
                  <c:v>4848.6470773554474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overlap val="100"/>
        <c:axId val="133962752"/>
        <c:axId val="134005504"/>
      </c:barChart>
      <c:catAx>
        <c:axId val="1339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4005504"/>
        <c:crosses val="autoZero"/>
        <c:auto val="1"/>
        <c:lblAlgn val="ctr"/>
        <c:lblOffset val="100"/>
        <c:noMultiLvlLbl val="0"/>
      </c:catAx>
      <c:valAx>
        <c:axId val="13400550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39627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Вклад!$F$14</c:f>
              <c:strCache>
                <c:ptCount val="1"/>
                <c:pt idx="0">
                  <c:v>Сумма вклада в конце периода, сформированная за счет взносов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Вклад!$F$15:$F$50</c:f>
              <c:numCache>
                <c:formatCode>#,##0.00</c:formatCode>
                <c:ptCount val="36"/>
                <c:pt idx="0">
                  <c:v>25421.93745155511</c:v>
                </c:pt>
                <c:pt idx="1">
                  <c:v>50843.87490311022</c:v>
                </c:pt>
                <c:pt idx="2">
                  <c:v>76265.812354665337</c:v>
                </c:pt>
                <c:pt idx="3">
                  <c:v>101687.74980622044</c:v>
                </c:pt>
                <c:pt idx="4">
                  <c:v>127109.68725777554</c:v>
                </c:pt>
                <c:pt idx="5">
                  <c:v>152531.62470933067</c:v>
                </c:pt>
                <c:pt idx="6">
                  <c:v>177953.56216088578</c:v>
                </c:pt>
                <c:pt idx="7">
                  <c:v>203375.49961244088</c:v>
                </c:pt>
                <c:pt idx="8">
                  <c:v>228797.43706399598</c:v>
                </c:pt>
                <c:pt idx="9">
                  <c:v>254219.37451555108</c:v>
                </c:pt>
                <c:pt idx="10">
                  <c:v>279641.31196710619</c:v>
                </c:pt>
                <c:pt idx="11">
                  <c:v>305063.24941866135</c:v>
                </c:pt>
                <c:pt idx="12">
                  <c:v>330485.18687021645</c:v>
                </c:pt>
                <c:pt idx="13">
                  <c:v>355907.12432177155</c:v>
                </c:pt>
                <c:pt idx="14">
                  <c:v>381329.06177332666</c:v>
                </c:pt>
                <c:pt idx="15">
                  <c:v>406750.99922488176</c:v>
                </c:pt>
                <c:pt idx="16">
                  <c:v>432172.93667643686</c:v>
                </c:pt>
                <c:pt idx="17">
                  <c:v>457594.87412799196</c:v>
                </c:pt>
                <c:pt idx="18">
                  <c:v>483016.81157954707</c:v>
                </c:pt>
                <c:pt idx="19">
                  <c:v>508438.74903110217</c:v>
                </c:pt>
                <c:pt idx="20">
                  <c:v>533860.68648265733</c:v>
                </c:pt>
                <c:pt idx="21">
                  <c:v>559282.62393421237</c:v>
                </c:pt>
                <c:pt idx="22">
                  <c:v>584704.56138576753</c:v>
                </c:pt>
                <c:pt idx="23">
                  <c:v>610126.4988373227</c:v>
                </c:pt>
                <c:pt idx="24">
                  <c:v>635548.43628887774</c:v>
                </c:pt>
                <c:pt idx="25">
                  <c:v>660970.3737404329</c:v>
                </c:pt>
                <c:pt idx="26">
                  <c:v>686392.31119198794</c:v>
                </c:pt>
                <c:pt idx="27">
                  <c:v>711814.24864354311</c:v>
                </c:pt>
                <c:pt idx="28">
                  <c:v>737236.18609509815</c:v>
                </c:pt>
                <c:pt idx="29">
                  <c:v>762658.12354665331</c:v>
                </c:pt>
                <c:pt idx="30">
                  <c:v>788080.06099820836</c:v>
                </c:pt>
                <c:pt idx="31">
                  <c:v>813501.99844976352</c:v>
                </c:pt>
                <c:pt idx="32">
                  <c:v>838923.93590131868</c:v>
                </c:pt>
                <c:pt idx="33">
                  <c:v>864345.87335287372</c:v>
                </c:pt>
                <c:pt idx="34">
                  <c:v>889767.81080442888</c:v>
                </c:pt>
                <c:pt idx="35">
                  <c:v>915189.74825598393</c:v>
                </c:pt>
              </c:numCache>
            </c:numRef>
          </c:val>
        </c:ser>
        <c:ser>
          <c:idx val="1"/>
          <c:order val="1"/>
          <c:tx>
            <c:strRef>
              <c:f>Вклад!$G$14</c:f>
              <c:strCache>
                <c:ptCount val="1"/>
                <c:pt idx="0">
                  <c:v>Сумма вклада в конце периода, сформированная за счет %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Вклад!$G$15:$G$50</c:f>
              <c:numCache>
                <c:formatCode>#,##0.00</c:formatCode>
                <c:ptCount val="36"/>
                <c:pt idx="0" formatCode="#,##0.0000">
                  <c:v>0</c:v>
                </c:pt>
                <c:pt idx="1">
                  <c:v>127.1096872577758</c:v>
                </c:pt>
                <c:pt idx="2">
                  <c:v>381.96461020961635</c:v>
                </c:pt>
                <c:pt idx="3">
                  <c:v>765.20349503399166</c:v>
                </c:pt>
                <c:pt idx="4">
                  <c:v>1277.4682615402648</c:v>
                </c:pt>
                <c:pt idx="5">
                  <c:v>1919.4040391368449</c:v>
                </c:pt>
                <c:pt idx="6">
                  <c:v>2691.659182879182</c:v>
                </c:pt>
                <c:pt idx="7">
                  <c:v>3594.8852895980071</c:v>
                </c:pt>
                <c:pt idx="8">
                  <c:v>4629.7372141082024</c:v>
                </c:pt>
                <c:pt idx="9">
                  <c:v>5796.8730854987243</c:v>
                </c:pt>
                <c:pt idx="10">
                  <c:v>7096.9543235039746</c:v>
                </c:pt>
                <c:pt idx="11">
                  <c:v>8530.6456549570266</c:v>
                </c:pt>
                <c:pt idx="12">
                  <c:v>10098.615130325119</c:v>
                </c:pt>
                <c:pt idx="13">
                  <c:v>11801.534140327827</c:v>
                </c:pt>
                <c:pt idx="14">
                  <c:v>13640.077432638325</c:v>
                </c:pt>
                <c:pt idx="15">
                  <c:v>15614.923128668152</c:v>
                </c:pt>
                <c:pt idx="16">
                  <c:v>17726.752740435903</c:v>
                </c:pt>
                <c:pt idx="17">
                  <c:v>19976.251187520269</c:v>
                </c:pt>
                <c:pt idx="18">
                  <c:v>22364.106814097831</c:v>
                </c:pt>
                <c:pt idx="19">
                  <c:v>24891.011406066056</c:v>
                </c:pt>
                <c:pt idx="20">
                  <c:v>27557.660208251898</c:v>
                </c:pt>
                <c:pt idx="21">
                  <c:v>30364.751941706447</c:v>
                </c:pt>
                <c:pt idx="22">
                  <c:v>33312.988821086044</c:v>
                </c:pt>
                <c:pt idx="23">
                  <c:v>36403.076572120313</c:v>
                </c:pt>
                <c:pt idx="24">
                  <c:v>39635.72444916753</c:v>
                </c:pt>
                <c:pt idx="25">
                  <c:v>43011.645252857757</c:v>
                </c:pt>
                <c:pt idx="26">
                  <c:v>46531.555347824215</c:v>
                </c:pt>
                <c:pt idx="27">
                  <c:v>50196.174680523276</c:v>
                </c:pt>
                <c:pt idx="28">
                  <c:v>54006.226797143609</c:v>
                </c:pt>
                <c:pt idx="29">
                  <c:v>57962.438861604816</c:v>
                </c:pt>
                <c:pt idx="30">
                  <c:v>62065.541673646105</c:v>
                </c:pt>
                <c:pt idx="31">
                  <c:v>66316.269687005377</c:v>
                </c:pt>
                <c:pt idx="32">
                  <c:v>70715.361027689229</c:v>
                </c:pt>
                <c:pt idx="33">
                  <c:v>75263.557512334271</c:v>
                </c:pt>
                <c:pt idx="34">
                  <c:v>79961.604666660307</c:v>
                </c:pt>
                <c:pt idx="35">
                  <c:v>84810.251744015754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5592576"/>
        <c:axId val="129331584"/>
      </c:barChart>
      <c:catAx>
        <c:axId val="135592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29331584"/>
        <c:crosses val="autoZero"/>
        <c:auto val="1"/>
        <c:lblAlgn val="ctr"/>
        <c:lblOffset val="100"/>
        <c:noMultiLvlLbl val="0"/>
      </c:catAx>
      <c:valAx>
        <c:axId val="1293315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35592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'зависимости ПЛТ'!$A$16</c:f>
          <c:strCache>
            <c:ptCount val="1"/>
            <c:pt idx="0">
              <c:v>Зависимость суммы платежа от размера ссуды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04652666048679"/>
          <c:y val="0.13990872165813245"/>
          <c:w val="0.81441617869991767"/>
          <c:h val="0.7454417118773375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'зависимости ПЛТ'!$B$19</c:f>
              <c:strCache>
                <c:ptCount val="1"/>
                <c:pt idx="0">
                  <c:v>Платеж</c:v>
                </c:pt>
              </c:strCache>
            </c:strRef>
          </c:tx>
          <c:marker>
            <c:symbol val="none"/>
          </c:marker>
          <c:trendline>
            <c:trendlineType val="linear"/>
            <c:dispRSqr val="0"/>
            <c:dispEq val="1"/>
            <c:trendlineLbl>
              <c:layout>
                <c:manualLayout>
                  <c:x val="-9.1592170735085743E-2"/>
                  <c:y val="1.067558336029914E-2"/>
                </c:manualLayout>
              </c:layout>
              <c:numFmt formatCode="General" sourceLinked="0"/>
            </c:trendlineLbl>
          </c:trendline>
          <c:xVal>
            <c:numRef>
              <c:f>'зависимости ПЛТ'!$A$20:$A$42</c:f>
              <c:numCache>
                <c:formatCode>#,##0</c:formatCode>
                <c:ptCount val="23"/>
                <c:pt idx="0">
                  <c:v>0</c:v>
                </c:pt>
                <c:pt idx="1">
                  <c:v>5000</c:v>
                </c:pt>
                <c:pt idx="2">
                  <c:v>10000</c:v>
                </c:pt>
                <c:pt idx="3">
                  <c:v>15000</c:v>
                </c:pt>
                <c:pt idx="4">
                  <c:v>20000</c:v>
                </c:pt>
                <c:pt idx="5">
                  <c:v>25000</c:v>
                </c:pt>
                <c:pt idx="6">
                  <c:v>30000</c:v>
                </c:pt>
                <c:pt idx="7">
                  <c:v>35000</c:v>
                </c:pt>
                <c:pt idx="8">
                  <c:v>40000</c:v>
                </c:pt>
                <c:pt idx="9">
                  <c:v>45000</c:v>
                </c:pt>
                <c:pt idx="10">
                  <c:v>50000</c:v>
                </c:pt>
                <c:pt idx="11">
                  <c:v>55000</c:v>
                </c:pt>
                <c:pt idx="12">
                  <c:v>60000</c:v>
                </c:pt>
                <c:pt idx="13">
                  <c:v>65000</c:v>
                </c:pt>
                <c:pt idx="14">
                  <c:v>70000</c:v>
                </c:pt>
                <c:pt idx="15">
                  <c:v>75000</c:v>
                </c:pt>
                <c:pt idx="16">
                  <c:v>80000</c:v>
                </c:pt>
                <c:pt idx="17">
                  <c:v>85000</c:v>
                </c:pt>
                <c:pt idx="18">
                  <c:v>90000</c:v>
                </c:pt>
                <c:pt idx="19">
                  <c:v>95000</c:v>
                </c:pt>
                <c:pt idx="20">
                  <c:v>100000</c:v>
                </c:pt>
                <c:pt idx="21">
                  <c:v>105000</c:v>
                </c:pt>
                <c:pt idx="22">
                  <c:v>110000</c:v>
                </c:pt>
              </c:numCache>
            </c:numRef>
          </c:xVal>
          <c:yVal>
            <c:numRef>
              <c:f>'зависимости ПЛТ'!$B$20:$B$42</c:f>
              <c:numCache>
                <c:formatCode>#,##0.00</c:formatCode>
                <c:ptCount val="23"/>
                <c:pt idx="0">
                  <c:v>0</c:v>
                </c:pt>
                <c:pt idx="1">
                  <c:v>106.23522355634138</c:v>
                </c:pt>
                <c:pt idx="2">
                  <c:v>212.47044711268276</c:v>
                </c:pt>
                <c:pt idx="3">
                  <c:v>318.70567066902413</c:v>
                </c:pt>
                <c:pt idx="4">
                  <c:v>424.94089422536553</c:v>
                </c:pt>
                <c:pt idx="5">
                  <c:v>531.17611778170692</c:v>
                </c:pt>
                <c:pt idx="6">
                  <c:v>637.41134133804826</c:v>
                </c:pt>
                <c:pt idx="7">
                  <c:v>743.64656489438971</c:v>
                </c:pt>
                <c:pt idx="8">
                  <c:v>849.88178845073105</c:v>
                </c:pt>
                <c:pt idx="9">
                  <c:v>956.1170120070725</c:v>
                </c:pt>
                <c:pt idx="10">
                  <c:v>1062.3522355634138</c:v>
                </c:pt>
                <c:pt idx="11">
                  <c:v>1168.5874591197551</c:v>
                </c:pt>
                <c:pt idx="12">
                  <c:v>1274.8226826760965</c:v>
                </c:pt>
                <c:pt idx="13">
                  <c:v>1381.0579062324377</c:v>
                </c:pt>
                <c:pt idx="14">
                  <c:v>1487.2931297887794</c:v>
                </c:pt>
                <c:pt idx="15">
                  <c:v>1593.5283533451209</c:v>
                </c:pt>
                <c:pt idx="16">
                  <c:v>1699.7635769014621</c:v>
                </c:pt>
                <c:pt idx="17">
                  <c:v>1805.9988004578036</c:v>
                </c:pt>
                <c:pt idx="18">
                  <c:v>1912.234024014145</c:v>
                </c:pt>
                <c:pt idx="19">
                  <c:v>2018.4692475704862</c:v>
                </c:pt>
                <c:pt idx="20">
                  <c:v>2124.7044711268277</c:v>
                </c:pt>
                <c:pt idx="21">
                  <c:v>2230.9396946831689</c:v>
                </c:pt>
                <c:pt idx="22">
                  <c:v>2337.1749182395101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29440"/>
        <c:axId val="132039424"/>
      </c:scatterChart>
      <c:valAx>
        <c:axId val="13202944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ru-RU"/>
          </a:p>
        </c:txPr>
        <c:crossAx val="132039424"/>
        <c:crosses val="autoZero"/>
        <c:crossBetween val="midCat"/>
      </c:valAx>
      <c:valAx>
        <c:axId val="1320394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202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'зависимости ПЛТ'!$A$45</c:f>
          <c:strCache>
            <c:ptCount val="1"/>
            <c:pt idx="0">
              <c:v>Зависимость суммы платежа от ставки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'зависимости ПЛТ'!$B$48</c:f>
              <c:strCache>
                <c:ptCount val="1"/>
                <c:pt idx="0">
                  <c:v>Платеж</c:v>
                </c:pt>
              </c:strCache>
            </c:strRef>
          </c:tx>
          <c:marker>
            <c:symbol val="none"/>
          </c:marker>
          <c:trendline>
            <c:trendlineType val="power"/>
            <c:dispRSqr val="0"/>
            <c:dispEq val="0"/>
          </c:trendline>
          <c:trendline>
            <c:trendlineType val="power"/>
            <c:dispRSqr val="0"/>
            <c:dispEq val="0"/>
          </c:trendline>
          <c:xVal>
            <c:numRef>
              <c:f>'зависимости ПЛТ'!$A$49:$A$99</c:f>
              <c:numCache>
                <c:formatCode>0.0%</c:formatCode>
                <c:ptCount val="5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0.10500000000000002</c:v>
                </c:pt>
                <c:pt idx="22">
                  <c:v>0.11000000000000003</c:v>
                </c:pt>
                <c:pt idx="23">
                  <c:v>0.11500000000000003</c:v>
                </c:pt>
                <c:pt idx="24">
                  <c:v>0.12000000000000004</c:v>
                </c:pt>
                <c:pt idx="25">
                  <c:v>0.12500000000000003</c:v>
                </c:pt>
                <c:pt idx="26">
                  <c:v>0.13000000000000003</c:v>
                </c:pt>
                <c:pt idx="27">
                  <c:v>0.13500000000000004</c:v>
                </c:pt>
                <c:pt idx="28">
                  <c:v>0.14000000000000004</c:v>
                </c:pt>
                <c:pt idx="29">
                  <c:v>0.14500000000000005</c:v>
                </c:pt>
                <c:pt idx="30">
                  <c:v>0.15000000000000005</c:v>
                </c:pt>
                <c:pt idx="31">
                  <c:v>0.15500000000000005</c:v>
                </c:pt>
                <c:pt idx="32">
                  <c:v>0.16000000000000006</c:v>
                </c:pt>
                <c:pt idx="33">
                  <c:v>0.16500000000000006</c:v>
                </c:pt>
                <c:pt idx="34">
                  <c:v>0.17000000000000007</c:v>
                </c:pt>
                <c:pt idx="35">
                  <c:v>0.17500000000000007</c:v>
                </c:pt>
                <c:pt idx="36">
                  <c:v>0.18000000000000008</c:v>
                </c:pt>
                <c:pt idx="37">
                  <c:v>0.18500000000000008</c:v>
                </c:pt>
                <c:pt idx="38">
                  <c:v>0.19000000000000009</c:v>
                </c:pt>
                <c:pt idx="39">
                  <c:v>0.19500000000000009</c:v>
                </c:pt>
                <c:pt idx="40">
                  <c:v>0.20000000000000009</c:v>
                </c:pt>
                <c:pt idx="41">
                  <c:v>0.2050000000000001</c:v>
                </c:pt>
                <c:pt idx="42">
                  <c:v>0.2100000000000001</c:v>
                </c:pt>
                <c:pt idx="43">
                  <c:v>0.21500000000000011</c:v>
                </c:pt>
                <c:pt idx="44">
                  <c:v>0.22000000000000011</c:v>
                </c:pt>
                <c:pt idx="45">
                  <c:v>0.22500000000000012</c:v>
                </c:pt>
                <c:pt idx="46">
                  <c:v>0.23000000000000012</c:v>
                </c:pt>
                <c:pt idx="47">
                  <c:v>0.23500000000000013</c:v>
                </c:pt>
                <c:pt idx="48">
                  <c:v>0.24000000000000013</c:v>
                </c:pt>
                <c:pt idx="49">
                  <c:v>0.24500000000000013</c:v>
                </c:pt>
                <c:pt idx="50">
                  <c:v>0.25000000000000011</c:v>
                </c:pt>
              </c:numCache>
            </c:numRef>
          </c:xVal>
          <c:yVal>
            <c:numRef>
              <c:f>'зависимости ПЛТ'!$B$49:$B$99</c:f>
              <c:numCache>
                <c:formatCode>#,##0.00</c:formatCode>
                <c:ptCount val="51"/>
                <c:pt idx="0">
                  <c:v>1666.6666666666667</c:v>
                </c:pt>
                <c:pt idx="1">
                  <c:v>1933.2801529427916</c:v>
                </c:pt>
                <c:pt idx="2">
                  <c:v>2224.4447684901775</c:v>
                </c:pt>
                <c:pt idx="3">
                  <c:v>2539.3427427109082</c:v>
                </c:pt>
                <c:pt idx="4">
                  <c:v>2876.7965825806332</c:v>
                </c:pt>
                <c:pt idx="5">
                  <c:v>3235.339590005924</c:v>
                </c:pt>
                <c:pt idx="6">
                  <c:v>3613.2958738043908</c:v>
                </c:pt>
                <c:pt idx="7">
                  <c:v>4008.862132021854</c:v>
                </c:pt>
                <c:pt idx="8">
                  <c:v>4420.1845123283219</c:v>
                </c:pt>
                <c:pt idx="9">
                  <c:v>4845.4255846261176</c:v>
                </c:pt>
                <c:pt idx="10">
                  <c:v>5282.8184527242365</c:v>
                </c:pt>
                <c:pt idx="11">
                  <c:v>5730.7069194591022</c:v>
                </c:pt>
                <c:pt idx="12">
                  <c:v>6187.5721516601716</c:v>
                </c:pt>
                <c:pt idx="13">
                  <c:v>6652.047353620922</c:v>
                </c:pt>
                <c:pt idx="14">
                  <c:v>7122.9225500019429</c:v>
                </c:pt>
                <c:pt idx="15">
                  <c:v>7599.1417754391759</c:v>
                </c:pt>
                <c:pt idx="16">
                  <c:v>8079.7948763645663</c:v>
                </c:pt>
                <c:pt idx="17">
                  <c:v>8564.1058607575778</c:v>
                </c:pt>
                <c:pt idx="18">
                  <c:v>9051.4193770679831</c:v>
                </c:pt>
                <c:pt idx="19">
                  <c:v>9541.1865330471064</c:v>
                </c:pt>
                <c:pt idx="20">
                  <c:v>10032.95092255041</c:v>
                </c:pt>
                <c:pt idx="21">
                  <c:v>10526.335436683446</c:v>
                </c:pt>
                <c:pt idx="22">
                  <c:v>11021.030203024946</c:v>
                </c:pt>
                <c:pt idx="23">
                  <c:v>11516.781821461855</c:v>
                </c:pt>
                <c:pt idx="24">
                  <c:v>12013.383940488486</c:v>
                </c:pt>
                <c:pt idx="25">
                  <c:v>12510.669134541329</c:v>
                </c:pt>
                <c:pt idx="26">
                  <c:v>13008.50199174161</c:v>
                </c:pt>
                <c:pt idx="27">
                  <c:v>13506.773293872231</c:v>
                </c:pt>
                <c:pt idx="28">
                  <c:v>14005.395159477492</c:v>
                </c:pt>
                <c:pt idx="29">
                  <c:v>14504.297021079517</c:v>
                </c:pt>
                <c:pt idx="30">
                  <c:v>15003.422314463331</c:v>
                </c:pt>
                <c:pt idx="31">
                  <c:v>15502.725768768129</c:v>
                </c:pt>
                <c:pt idx="32">
                  <c:v>16002.171198642433</c:v>
                </c:pt>
                <c:pt idx="33">
                  <c:v>16501.729712594573</c:v>
                </c:pt>
                <c:pt idx="34">
                  <c:v>17001.378264040366</c:v>
                </c:pt>
                <c:pt idx="35">
                  <c:v>17501.098482929214</c:v>
                </c:pt>
                <c:pt idx="36">
                  <c:v>18000.875735984569</c:v>
                </c:pt>
                <c:pt idx="37">
                  <c:v>18500.69837245527</c:v>
                </c:pt>
                <c:pt idx="38">
                  <c:v>19000.557119874553</c:v>
                </c:pt>
                <c:pt idx="39">
                  <c:v>19500.444600755283</c:v>
                </c:pt>
                <c:pt idx="40">
                  <c:v>20000.354946534495</c:v>
                </c:pt>
                <c:pt idx="41">
                  <c:v>20500.283489548423</c:v>
                </c:pt>
                <c:pt idx="42">
                  <c:v>21000.226517500243</c:v>
                </c:pt>
                <c:pt idx="43">
                  <c:v>21500.181077896807</c:v>
                </c:pt>
                <c:pt idx="44">
                  <c:v>22000.144822386297</c:v>
                </c:pt>
                <c:pt idx="45">
                  <c:v>22500.115882920782</c:v>
                </c:pt>
                <c:pt idx="46">
                  <c:v>23000.092773277895</c:v>
                </c:pt>
                <c:pt idx="47">
                  <c:v>23500.074310773161</c:v>
                </c:pt>
                <c:pt idx="48">
                  <c:v>24000.059554037456</c:v>
                </c:pt>
                <c:pt idx="49">
                  <c:v>24500.047753570067</c:v>
                </c:pt>
                <c:pt idx="50">
                  <c:v>25000.038312447246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048000"/>
        <c:axId val="132049536"/>
      </c:scatterChart>
      <c:valAx>
        <c:axId val="132048000"/>
        <c:scaling>
          <c:orientation val="minMax"/>
        </c:scaling>
        <c:delete val="0"/>
        <c:axPos val="b"/>
        <c:numFmt formatCode="0.0%" sourceLinked="1"/>
        <c:majorTickMark val="out"/>
        <c:minorTickMark val="none"/>
        <c:tickLblPos val="nextTo"/>
        <c:crossAx val="132049536"/>
        <c:crosses val="autoZero"/>
        <c:crossBetween val="midCat"/>
      </c:valAx>
      <c:valAx>
        <c:axId val="13204953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2048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'зависимости ПЛТ'!$A$101</c:f>
          <c:strCache>
            <c:ptCount val="1"/>
            <c:pt idx="0">
              <c:v>Зависимость суммы платежа от срока ссуды</c:v>
            </c:pt>
          </c:strCache>
        </c:strRef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'зависимости ПЛТ'!$B$105</c:f>
              <c:strCache>
                <c:ptCount val="1"/>
                <c:pt idx="0">
                  <c:v>Платеж</c:v>
                </c:pt>
              </c:strCache>
            </c:strRef>
          </c:tx>
          <c:marker>
            <c:symbol val="none"/>
          </c:marker>
          <c:xVal>
            <c:numRef>
              <c:f>'зависимости ПЛТ'!$A$106:$A$125</c:f>
              <c:numCache>
                <c:formatCode>0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'зависимости ПЛТ'!$B$106:$B$125</c:f>
              <c:numCache>
                <c:formatCode>#,##0.00</c:formatCode>
                <c:ptCount val="20"/>
                <c:pt idx="0">
                  <c:v>8791.5887230009594</c:v>
                </c:pt>
                <c:pt idx="1">
                  <c:v>4614.4926337516508</c:v>
                </c:pt>
                <c:pt idx="2">
                  <c:v>3226.7187193837485</c:v>
                </c:pt>
                <c:pt idx="3">
                  <c:v>2536.2583434747189</c:v>
                </c:pt>
                <c:pt idx="4">
                  <c:v>2124.7044711268277</c:v>
                </c:pt>
                <c:pt idx="5">
                  <c:v>1852.5837775770478</c:v>
                </c:pt>
                <c:pt idx="6">
                  <c:v>1660.1184026885908</c:v>
                </c:pt>
                <c:pt idx="7">
                  <c:v>1517.416409780433</c:v>
                </c:pt>
                <c:pt idx="8">
                  <c:v>1407.8686217371223</c:v>
                </c:pt>
                <c:pt idx="9">
                  <c:v>1321.5073688176165</c:v>
                </c:pt>
                <c:pt idx="10">
                  <c:v>1251.9877483329201</c:v>
                </c:pt>
                <c:pt idx="11">
                  <c:v>1195.0782628273339</c:v>
                </c:pt>
                <c:pt idx="12">
                  <c:v>1147.8480931056774</c:v>
                </c:pt>
                <c:pt idx="13">
                  <c:v>1108.2026873686093</c:v>
                </c:pt>
                <c:pt idx="14">
                  <c:v>1074.6051177081163</c:v>
                </c:pt>
                <c:pt idx="15">
                  <c:v>1045.9019296055208</c:v>
                </c:pt>
                <c:pt idx="16">
                  <c:v>1021.210456863398</c:v>
                </c:pt>
                <c:pt idx="17">
                  <c:v>999.84369781186274</c:v>
                </c:pt>
                <c:pt idx="18">
                  <c:v>981.25891359386901</c:v>
                </c:pt>
                <c:pt idx="19">
                  <c:v>965.02164507400789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695744"/>
        <c:axId val="133734400"/>
      </c:scatterChart>
      <c:valAx>
        <c:axId val="13369574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33734400"/>
        <c:crosses val="autoZero"/>
        <c:crossBetween val="midCat"/>
      </c:valAx>
      <c:valAx>
        <c:axId val="1337344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33695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616323</xdr:colOff>
      <xdr:row>0</xdr:row>
      <xdr:rowOff>39781</xdr:rowOff>
    </xdr:from>
    <xdr:to>
      <xdr:col>12</xdr:col>
      <xdr:colOff>591668</xdr:colOff>
      <xdr:row>18</xdr:row>
      <xdr:rowOff>493058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13</xdr:row>
      <xdr:rowOff>133350</xdr:rowOff>
    </xdr:from>
    <xdr:to>
      <xdr:col>13</xdr:col>
      <xdr:colOff>76200</xdr:colOff>
      <xdr:row>28</xdr:row>
      <xdr:rowOff>57149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1171575</xdr:colOff>
      <xdr:row>0</xdr:row>
      <xdr:rowOff>19049</xdr:rowOff>
    </xdr:from>
    <xdr:to>
      <xdr:col>14</xdr:col>
      <xdr:colOff>276225</xdr:colOff>
      <xdr:row>13</xdr:row>
      <xdr:rowOff>104774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91327</xdr:colOff>
      <xdr:row>13</xdr:row>
      <xdr:rowOff>255494</xdr:rowOff>
    </xdr:from>
    <xdr:to>
      <xdr:col>21</xdr:col>
      <xdr:colOff>0</xdr:colOff>
      <xdr:row>25</xdr:row>
      <xdr:rowOff>141194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714374</xdr:colOff>
      <xdr:row>21</xdr:row>
      <xdr:rowOff>114299</xdr:rowOff>
    </xdr:from>
    <xdr:to>
      <xdr:col>12</xdr:col>
      <xdr:colOff>66675</xdr:colOff>
      <xdr:row>41</xdr:row>
      <xdr:rowOff>123825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771524</xdr:colOff>
      <xdr:row>45</xdr:row>
      <xdr:rowOff>171450</xdr:rowOff>
    </xdr:from>
    <xdr:to>
      <xdr:col>10</xdr:col>
      <xdr:colOff>523874</xdr:colOff>
      <xdr:row>60</xdr:row>
      <xdr:rowOff>57150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809625</xdr:colOff>
      <xdr:row>104</xdr:row>
      <xdr:rowOff>152399</xdr:rowOff>
    </xdr:from>
    <xdr:to>
      <xdr:col>9</xdr:col>
      <xdr:colOff>571500</xdr:colOff>
      <xdr:row>125</xdr:row>
      <xdr:rowOff>85724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1219200</xdr:colOff>
      <xdr:row>1</xdr:row>
      <xdr:rowOff>285750</xdr:rowOff>
    </xdr:from>
    <xdr:to>
      <xdr:col>1</xdr:col>
      <xdr:colOff>1219200</xdr:colOff>
      <xdr:row>3</xdr:row>
      <xdr:rowOff>28575</xdr:rowOff>
    </xdr:to>
    <xdr:cxnSp macro="">
      <xdr:nvCxnSpPr>
        <xdr:cNvPr id="3" name="Прямая со стрелкой 2"/>
        <xdr:cNvCxnSpPr/>
      </xdr:nvCxnSpPr>
      <xdr:spPr>
        <a:xfrm>
          <a:off x="1828800" y="476250"/>
          <a:ext cx="0" cy="323850"/>
        </a:xfrm>
        <a:prstGeom prst="straightConnector1">
          <a:avLst/>
        </a:prstGeom>
        <a:ln w="28575">
          <a:solidFill>
            <a:schemeClr val="accent6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1219200</xdr:colOff>
      <xdr:row>1</xdr:row>
      <xdr:rowOff>285750</xdr:rowOff>
    </xdr:from>
    <xdr:to>
      <xdr:col>2</xdr:col>
      <xdr:colOff>1219200</xdr:colOff>
      <xdr:row>3</xdr:row>
      <xdr:rowOff>28575</xdr:rowOff>
    </xdr:to>
    <xdr:cxnSp macro="">
      <xdr:nvCxnSpPr>
        <xdr:cNvPr id="5" name="Прямая со стрелкой 4"/>
        <xdr:cNvCxnSpPr/>
      </xdr:nvCxnSpPr>
      <xdr:spPr>
        <a:xfrm>
          <a:off x="3067050" y="476250"/>
          <a:ext cx="0" cy="323850"/>
        </a:xfrm>
        <a:prstGeom prst="straightConnector1">
          <a:avLst/>
        </a:prstGeom>
        <a:ln w="28575">
          <a:solidFill>
            <a:schemeClr val="accent3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1</xdr:row>
      <xdr:rowOff>295275</xdr:rowOff>
    </xdr:from>
    <xdr:to>
      <xdr:col>3</xdr:col>
      <xdr:colOff>1219200</xdr:colOff>
      <xdr:row>3</xdr:row>
      <xdr:rowOff>38100</xdr:rowOff>
    </xdr:to>
    <xdr:cxnSp macro="">
      <xdr:nvCxnSpPr>
        <xdr:cNvPr id="6" name="Прямая со стрелкой 5"/>
        <xdr:cNvCxnSpPr/>
      </xdr:nvCxnSpPr>
      <xdr:spPr>
        <a:xfrm>
          <a:off x="4305300" y="485775"/>
          <a:ext cx="0" cy="323850"/>
        </a:xfrm>
        <a:prstGeom prst="straightConnector1">
          <a:avLst/>
        </a:prstGeom>
        <a:ln w="28575">
          <a:solidFill>
            <a:schemeClr val="accent4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1228725</xdr:colOff>
      <xdr:row>1</xdr:row>
      <xdr:rowOff>304800</xdr:rowOff>
    </xdr:from>
    <xdr:to>
      <xdr:col>4</xdr:col>
      <xdr:colOff>1228725</xdr:colOff>
      <xdr:row>3</xdr:row>
      <xdr:rowOff>47625</xdr:rowOff>
    </xdr:to>
    <xdr:cxnSp macro="">
      <xdr:nvCxnSpPr>
        <xdr:cNvPr id="7" name="Прямая со стрелкой 6"/>
        <xdr:cNvCxnSpPr/>
      </xdr:nvCxnSpPr>
      <xdr:spPr>
        <a:xfrm>
          <a:off x="5553075" y="495300"/>
          <a:ext cx="0" cy="323850"/>
        </a:xfrm>
        <a:prstGeom prst="straightConnector1">
          <a:avLst/>
        </a:prstGeom>
        <a:ln w="28575">
          <a:solidFill>
            <a:schemeClr val="accent5">
              <a:lumMod val="75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ПлатежиАннуитетФункции" displayName="ПлатежиАннуитетФункции" ref="A19:I80" totalsRowCount="1" headerRowDxfId="51">
  <autoFilter ref="A19:I79"/>
  <tableColumns count="9">
    <tableColumn id="1" name="Период (№месяца)" totalsRowLabel="Итог" dataDxfId="50">
      <calculatedColumnFormula>IF(ROW()-ROW(ПлатежиАннуитетФункции[[#Headers],[Период (№месяца)]])&gt;$B$11,0,ROW()-ROW(ПлатежиАннуитетФункции[[#Headers],[Период (№месяца)]]))</calculatedColumnFormula>
    </tableColumn>
    <tableColumn id="2" name="Баланс на начало периода" dataDxfId="49">
      <calculatedColumnFormula>$B$5+SUM($D$19:D19)</calculatedColumnFormula>
    </tableColumn>
    <tableColumn id="4" name="Платеж" totalsRowFunction="sum" dataDxfId="48" totalsRowDxfId="47">
      <calculatedColumnFormula>PMT($B$10,$B$11,$B$5,$B$6,$B$12)</calculatedColumnFormula>
    </tableColumn>
    <tableColumn id="6" name="Тело кредита" totalsRowFunction="sum" dataDxfId="46" totalsRowDxfId="45">
      <calculatedColumnFormula>PPMT($B$10,A20,$B$11,$B$5,$B$6,$B$12)</calculatedColumnFormula>
    </tableColumn>
    <tableColumn id="3" name="Процент" totalsRowFunction="sum" dataDxfId="44" totalsRowDxfId="43">
      <calculatedColumnFormula>IPMT($B$10,A20,$B$11,$B$5,$B$6,$B$12)</calculatedColumnFormula>
    </tableColumn>
    <tableColumn id="8" name="Всего погашено кредита" dataDxfId="42" totalsRowDxfId="41">
      <calculatedColumnFormula>SUM($D$20:D20)</calculatedColumnFormula>
    </tableColumn>
    <tableColumn id="5" name="Баланс на конец периода (остаток)" dataDxfId="40" totalsRowDxfId="39">
      <calculatedColumnFormula>ПлатежиАннуитетФункции[[#This Row],[Баланс на начало периода]]+ПлатежиАннуитетФункции[[#This Row],[Тело кредита]]</calculatedColumnFormula>
    </tableColumn>
    <tableColumn id="9" name="Баланс на начало периода2" dataDxfId="38">
      <calculatedColumnFormula>PV($B$10,$B$11-ПлатежиАннуитетФункции[[#This Row],[Период (№месяца)]]+1,$C$15,$B$6,$B$12)/IF(ПлатежиАннуитетФункции[[#This Row],[Период (№месяца)]]=1,1,1+$B$12*$B$10)</calculatedColumnFormula>
    </tableColumn>
    <tableColumn id="7" name="Баланс на конец периода (остаток)2" dataDxfId="37">
      <calculatedColumnFormula>-FV($B$10,ПлатежиАннуитетФункции[[#This Row],[Период (№месяца)]],$C$15,$B$5,$B$12)/(1+$B$12*$B$10)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ПлатежиАннуитет" displayName="ПлатежиАннуитет" ref="A15:G76" totalsRowCount="1" headerRowDxfId="36">
  <autoFilter ref="A15:G75"/>
  <tableColumns count="7">
    <tableColumn id="1" name="Период (№месяца)" totalsRowLabel="Итог" dataDxfId="35">
      <calculatedColumnFormula>IF(ROW()-ROW(ПлатежиАннуитет[[#Headers],[Период (№месяца)]])&gt;$B$7,0,ROW()-ROW(ПлатежиАннуитет[[#Headers],[Период (№месяца)]]))</calculatedColumnFormula>
    </tableColumn>
    <tableColumn id="2" name="Баланс на начало периода" dataDxfId="34">
      <calculatedColumnFormula>$B$8+SUM($D$15:D15)</calculatedColumnFormula>
    </tableColumn>
    <tableColumn id="4" name="Платеж" totalsRowFunction="sum" dataDxfId="33" totalsRowDxfId="32">
      <calculatedColumnFormula>$C$11</calculatedColumnFormula>
    </tableColumn>
    <tableColumn id="6" name="Тело кредита" totalsRowFunction="sum" dataDxfId="31" totalsRowDxfId="30">
      <calculatedColumnFormula>$C$11/(1+$B$6)^($B$7-ПлатежиАннуитет[[#This Row],[Период (№месяца)]]+1)</calculatedColumnFormula>
    </tableColumn>
    <tableColumn id="3" name="Процент" totalsRowFunction="sum" dataDxfId="29" totalsRowDxfId="28">
      <calculatedColumnFormula>-($C$11*((1+$B$6)^(ПлатежиАннуитет[[#This Row],[Период (№месяца)]]-1)-1)/$B$6+$B$8*(1+$B$6)^(ПлатежиАннуитет[[#This Row],[Период (№месяца)]]-1))*$B$6</calculatedColumnFormula>
    </tableColumn>
    <tableColumn id="8" name="Всего погашено кредита" dataDxfId="27" totalsRowDxfId="26">
      <calculatedColumnFormula>SUM($D$16:D16)</calculatedColumnFormula>
    </tableColumn>
    <tableColumn id="5" name="Баланс на конец периода (остаток)" dataDxfId="25" totalsRowDxfId="24">
      <calculatedColumnFormula>ПлатежиАннуитет[[#This Row],[Баланс на начало периода]]+ПлатежиАннуитет[[#This Row],[Тело кредита]]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4:G50" totalsRowShown="0" headerRowDxfId="23">
  <autoFilter ref="A14:G50"/>
  <tableColumns count="7">
    <tableColumn id="1" name="Период"/>
    <tableColumn id="2" name="Регулярный взнос" dataDxfId="22">
      <calculatedColumnFormula>$B$12</calculatedColumnFormula>
    </tableColumn>
    <tableColumn id="3" name="Начисленный % за период" dataDxfId="21">
      <calculatedColumnFormula>IPMT($B$9,A15,$B$10,$B$4,$B$5,$B$11)</calculatedColumnFormula>
    </tableColumn>
    <tableColumn id="4" name="Пополнение вклада за период" dataDxfId="20">
      <calculatedColumnFormula>-PPMT($B$9,A15,$B$10,$B$4,$B$5,$B$11)</calculatedColumnFormula>
    </tableColumn>
    <tableColumn id="5" name="Сумма вклада в конце периода" dataDxfId="19">
      <calculatedColumnFormula>SUM($D$14:D15)</calculatedColumnFormula>
    </tableColumn>
    <tableColumn id="6" name="Сумма вклада в конце периода, сформированная за счет взносов" dataDxfId="18">
      <calculatedColumnFormula>Таблица4[[#This Row],[Регулярный взнос]]*Таблица4[[#This Row],[Период]]</calculatedColumnFormula>
    </tableColumn>
    <tableColumn id="7" name="Сумма вклада в конце периода, сформированная за счет %" dataDxfId="17">
      <calculatedColumnFormula>SUM($C$14:C15)</calculatedColumnFormula>
    </tableColumn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1" name="Таблица1" displayName="Таблица1" ref="A52:G113" totalsRowCount="1" headerRowDxfId="16" dataDxfId="14" headerRowBorderDxfId="15" tableBorderDxfId="13">
  <autoFilter ref="A52:G112"/>
  <tableColumns count="7">
    <tableColumn id="1" name="Период (№месяца)" totalsRowLabel="Итог" totalsRowDxfId="12"/>
    <tableColumn id="2" name="Баланс на начало периода" dataDxfId="11" totalsRowDxfId="10">
      <calculatedColumnFormula>$B$41+SUM($D$52:D52)</calculatedColumnFormula>
    </tableColumn>
    <tableColumn id="3" name="Платеж" totalsRowFunction="sum" dataDxfId="9" totalsRowDxfId="8">
      <calculatedColumnFormula>$B$42</calculatedColumnFormula>
    </tableColumn>
    <tableColumn id="4" name="Тело кредита" totalsRowFunction="sum" dataDxfId="7" totalsRowDxfId="6">
      <calculatedColumnFormula>PPMT($B$45,A53,$B$40,$B$41,0,$B$43)</calculatedColumnFormula>
    </tableColumn>
    <tableColumn id="5" name="Процент" totalsRowFunction="sum" dataDxfId="5" totalsRowDxfId="4">
      <calculatedColumnFormula>IPMT($B$45,A53,$B$40,$B$41,,$B$43)</calculatedColumnFormula>
    </tableColumn>
    <tableColumn id="6" name="Всего погашено кредита" dataDxfId="3" totalsRowDxfId="2">
      <calculatedColumnFormula>SUM($D$18:D53)</calculatedColumnFormula>
    </tableColumn>
    <tableColumn id="7" name="Баланс на конец периода (остаток)" dataDxfId="1" totalsRowDxfId="0">
      <calculatedColumnFormula>B53+D53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xcel2.ru/articles/annuitet-obzor-funkciy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excel2.ru/articles/annuitet-obzor-funkciy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91"/>
  <sheetViews>
    <sheetView tabSelected="1" zoomScale="85" zoomScaleNormal="85" workbookViewId="0">
      <selection activeCell="E3" sqref="A1:E3"/>
    </sheetView>
  </sheetViews>
  <sheetFormatPr defaultRowHeight="15" x14ac:dyDescent="0.25"/>
  <cols>
    <col min="1" max="1" width="21.140625" customWidth="1"/>
    <col min="2" max="2" width="17.85546875" customWidth="1"/>
    <col min="3" max="3" width="13.42578125" customWidth="1"/>
    <col min="4" max="4" width="14.5703125" customWidth="1"/>
    <col min="5" max="5" width="11.7109375" bestFit="1" customWidth="1"/>
    <col min="6" max="6" width="16.85546875" customWidth="1"/>
    <col min="7" max="7" width="19.140625" customWidth="1"/>
    <col min="8" max="8" width="15.5703125" customWidth="1"/>
    <col min="9" max="9" width="15.85546875" customWidth="1"/>
    <col min="10" max="10" width="11.7109375" bestFit="1" customWidth="1"/>
    <col min="12" max="12" width="9.140625" customWidth="1"/>
    <col min="270" max="270" width="10" customWidth="1"/>
    <col min="351" max="351" width="8.5703125" customWidth="1"/>
  </cols>
  <sheetData>
    <row r="1" spans="1:7" ht="26.25" x14ac:dyDescent="0.25">
      <c r="A1" s="94" t="s">
        <v>127</v>
      </c>
      <c r="B1" s="94"/>
      <c r="C1" s="94"/>
      <c r="D1" s="94"/>
      <c r="E1" s="94"/>
    </row>
    <row r="2" spans="1:7" ht="15.75" x14ac:dyDescent="0.25">
      <c r="A2" s="97" t="s">
        <v>128</v>
      </c>
      <c r="B2" s="95"/>
      <c r="C2" s="95"/>
      <c r="D2" s="95"/>
      <c r="E2" s="95"/>
      <c r="F2" s="8"/>
    </row>
    <row r="3" spans="1:7" ht="18.75" x14ac:dyDescent="0.25">
      <c r="A3" s="96" t="s">
        <v>129</v>
      </c>
      <c r="B3" s="96"/>
      <c r="C3" s="96"/>
      <c r="D3" s="96"/>
      <c r="E3" s="96"/>
      <c r="F3" s="8"/>
    </row>
    <row r="4" spans="1:7" x14ac:dyDescent="0.25">
      <c r="A4" s="11" t="s">
        <v>22</v>
      </c>
      <c r="B4" s="11" t="s">
        <v>23</v>
      </c>
      <c r="C4" s="11" t="s">
        <v>24</v>
      </c>
      <c r="D4" s="11"/>
      <c r="E4" s="11" t="s">
        <v>25</v>
      </c>
      <c r="F4" s="8"/>
      <c r="G4" s="53" t="s">
        <v>111</v>
      </c>
    </row>
    <row r="5" spans="1:7" x14ac:dyDescent="0.25">
      <c r="A5" s="6" t="s">
        <v>89</v>
      </c>
      <c r="B5" s="16">
        <v>100000</v>
      </c>
      <c r="C5" s="6" t="s">
        <v>11</v>
      </c>
      <c r="D5" s="6" t="s">
        <v>10</v>
      </c>
      <c r="E5" s="6" t="s">
        <v>9</v>
      </c>
      <c r="F5" s="8"/>
    </row>
    <row r="6" spans="1:7" x14ac:dyDescent="0.25">
      <c r="A6" s="6" t="s">
        <v>30</v>
      </c>
      <c r="B6" s="16">
        <v>0</v>
      </c>
      <c r="C6" s="6" t="s">
        <v>8</v>
      </c>
      <c r="D6" s="6" t="s">
        <v>7</v>
      </c>
      <c r="E6" s="6" t="s">
        <v>6</v>
      </c>
      <c r="F6" s="8"/>
    </row>
    <row r="7" spans="1:7" x14ac:dyDescent="0.25">
      <c r="A7" s="6" t="s">
        <v>82</v>
      </c>
      <c r="B7" s="52">
        <v>5</v>
      </c>
      <c r="C7" s="6"/>
      <c r="D7" s="6"/>
      <c r="E7" s="6"/>
      <c r="F7" s="8"/>
    </row>
    <row r="8" spans="1:7" x14ac:dyDescent="0.25">
      <c r="A8" s="6" t="s">
        <v>19</v>
      </c>
      <c r="B8" s="7">
        <v>0.15</v>
      </c>
      <c r="C8" s="6"/>
      <c r="D8" s="6"/>
      <c r="E8" s="6"/>
      <c r="F8" s="8"/>
    </row>
    <row r="9" spans="1:7" x14ac:dyDescent="0.25">
      <c r="A9" s="6" t="s">
        <v>81</v>
      </c>
      <c r="B9" s="51">
        <v>12</v>
      </c>
      <c r="C9" s="6"/>
      <c r="D9" s="6"/>
      <c r="E9" s="6"/>
      <c r="F9" s="8"/>
    </row>
    <row r="10" spans="1:7" x14ac:dyDescent="0.25">
      <c r="A10" s="6" t="s">
        <v>73</v>
      </c>
      <c r="B10" s="27">
        <f>B8/B9</f>
        <v>1.2499999999999999E-2</v>
      </c>
      <c r="C10" s="6" t="s">
        <v>18</v>
      </c>
      <c r="D10" s="6" t="s">
        <v>17</v>
      </c>
      <c r="E10" s="6" t="s">
        <v>16</v>
      </c>
      <c r="F10" s="8"/>
    </row>
    <row r="11" spans="1:7" x14ac:dyDescent="0.25">
      <c r="A11" s="6" t="s">
        <v>15</v>
      </c>
      <c r="B11" s="26">
        <f>B7*B9</f>
        <v>60</v>
      </c>
      <c r="C11" s="6" t="s">
        <v>14</v>
      </c>
      <c r="D11" s="6" t="s">
        <v>13</v>
      </c>
      <c r="E11" s="6" t="s">
        <v>12</v>
      </c>
      <c r="F11" s="8"/>
    </row>
    <row r="12" spans="1:7" x14ac:dyDescent="0.25">
      <c r="A12" s="6" t="s">
        <v>21</v>
      </c>
      <c r="B12" s="9">
        <v>0</v>
      </c>
      <c r="C12" s="6" t="s">
        <v>5</v>
      </c>
      <c r="D12" s="6" t="s">
        <v>4</v>
      </c>
      <c r="E12" s="6" t="s">
        <v>76</v>
      </c>
      <c r="F12" s="8"/>
    </row>
    <row r="13" spans="1:7" x14ac:dyDescent="0.25">
      <c r="A13" s="12"/>
      <c r="B13" s="12"/>
      <c r="C13" s="12"/>
      <c r="D13" s="12"/>
      <c r="E13" s="12"/>
      <c r="F13" s="8"/>
    </row>
    <row r="14" spans="1:7" x14ac:dyDescent="0.25">
      <c r="A14" s="15"/>
      <c r="B14" s="12"/>
      <c r="C14" s="14" t="s">
        <v>28</v>
      </c>
      <c r="D14" s="14" t="s">
        <v>43</v>
      </c>
    </row>
    <row r="15" spans="1:7" x14ac:dyDescent="0.25">
      <c r="A15" s="1" t="s">
        <v>27</v>
      </c>
      <c r="C15" s="13">
        <f>PMT(B10,B11,B5,B6,B12)</f>
        <v>-2378.9930086358731</v>
      </c>
      <c r="D15" s="13">
        <f>IF(B10,(-B10*(B5*(1+B10)^B11+B6))/((1+B10*B12)*((1+B10)^B11-1)),(B5+B6)/B11)</f>
        <v>-2378.993008635875</v>
      </c>
    </row>
    <row r="16" spans="1:7" x14ac:dyDescent="0.25">
      <c r="A16" s="1"/>
      <c r="C16" s="15"/>
      <c r="D16" s="15"/>
      <c r="F16" s="8"/>
    </row>
    <row r="17" spans="1:15" x14ac:dyDescent="0.25">
      <c r="A17" s="1" t="s">
        <v>44</v>
      </c>
      <c r="C17" s="15"/>
      <c r="D17" s="15"/>
      <c r="H17" s="66"/>
    </row>
    <row r="18" spans="1:15" x14ac:dyDescent="0.25">
      <c r="A18" s="1"/>
      <c r="K18" s="1" t="s">
        <v>112</v>
      </c>
    </row>
    <row r="19" spans="1:15" ht="45" x14ac:dyDescent="0.25">
      <c r="A19" s="17" t="s">
        <v>31</v>
      </c>
      <c r="B19" s="17" t="s">
        <v>33</v>
      </c>
      <c r="C19" s="18" t="s">
        <v>32</v>
      </c>
      <c r="D19" s="18" t="s">
        <v>34</v>
      </c>
      <c r="E19" s="18" t="s">
        <v>35</v>
      </c>
      <c r="F19" s="17" t="s">
        <v>46</v>
      </c>
      <c r="G19" s="17" t="s">
        <v>36</v>
      </c>
      <c r="H19" s="17" t="s">
        <v>110</v>
      </c>
      <c r="I19" s="17" t="s">
        <v>93</v>
      </c>
      <c r="K19" s="11" t="s">
        <v>94</v>
      </c>
      <c r="L19" s="11" t="s">
        <v>113</v>
      </c>
      <c r="M19" s="11" t="s">
        <v>114</v>
      </c>
      <c r="N19" s="11" t="s">
        <v>115</v>
      </c>
      <c r="O19" s="14" t="s">
        <v>123</v>
      </c>
    </row>
    <row r="20" spans="1:15" x14ac:dyDescent="0.25">
      <c r="A20" s="3">
        <f>IF(ROW()-ROW(ПлатежиАннуитетФункции[[#Headers],[Период (№месяца)]])&gt;$B$11,0,ROW()-ROW(ПлатежиАннуитетФункции[[#Headers],[Период (№месяца)]]))</f>
        <v>1</v>
      </c>
      <c r="B20" s="4">
        <f>$B$5+SUM($D$19:D19)</f>
        <v>100000</v>
      </c>
      <c r="C20" s="4">
        <f t="shared" ref="C20:C51" si="0">PMT($B$10,$B$11,$B$5,$B$6,$B$12)</f>
        <v>-2378.9930086358731</v>
      </c>
      <c r="D20" s="4">
        <f t="shared" ref="D20:D51" si="1">PPMT($B$10,A20,$B$11,$B$5,$B$6,$B$12)</f>
        <v>-1128.9930086358734</v>
      </c>
      <c r="E20" s="4">
        <f t="shared" ref="E20:E51" si="2">IPMT($B$10,A20,$B$11,$B$5,$B$6,$B$12)</f>
        <v>-1250</v>
      </c>
      <c r="F20" s="4">
        <f>SUM($D$20:D20)</f>
        <v>-1128.9930086358734</v>
      </c>
      <c r="G20" s="4">
        <f>ПлатежиАннуитетФункции[[#This Row],[Баланс на начало периода]]+ПлатежиАннуитетФункции[[#This Row],[Тело кредита]]</f>
        <v>98871.00699136412</v>
      </c>
      <c r="H20" s="65">
        <f>PV($B$10,$B$11-ПлатежиАннуитетФункции[[#This Row],[Период (№месяца)]]+1,$C$15,$B$6,$B$12)/IF(ПлатежиАннуитетФункции[[#This Row],[Период (№месяца)]]=1,1,1+$B$12*$B$10)</f>
        <v>99999.999999999927</v>
      </c>
      <c r="I20" s="4">
        <f>-FV($B$10,ПлатежиАннуитетФункции[[#This Row],[Период (№месяца)]],$C$15,$B$5,$B$12)/(1+$B$12*$B$10)</f>
        <v>98871.006991364135</v>
      </c>
      <c r="K20" s="6">
        <v>1</v>
      </c>
      <c r="L20" s="67">
        <f>IF(AND(K20=1,$B$12),$C$15,(1+$B$10)^(K20-1-$B$11)*($C$15-$B$6*$B$10/(1+$B$12*$B$10)))</f>
        <v>-1128.993008635874</v>
      </c>
      <c r="M20" s="67">
        <f>IF(AND(K20=1,$B$12),$C$15,(1+$B$10)^(K20-1)*($C$15+$B$5*$B$10/(1+$B$12*$B$10)))</f>
        <v>-1128.9930086358731</v>
      </c>
      <c r="N20" s="67">
        <f>ПлатежиАннуитетФункции[[#This Row],[Тело кредита]]-M20</f>
        <v>0</v>
      </c>
      <c r="O2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1" spans="1:15" x14ac:dyDescent="0.25">
      <c r="A21" s="3">
        <f>IF(ROW()-ROW(ПлатежиАннуитетФункции[[#Headers],[Период (№месяца)]])&gt;$B$11,0,ROW()-ROW(ПлатежиАннуитетФункции[[#Headers],[Период (№месяца)]]))</f>
        <v>2</v>
      </c>
      <c r="B21" s="4">
        <f>$B$5+SUM($D$19:D20)</f>
        <v>98871.00699136412</v>
      </c>
      <c r="C21" s="4">
        <f t="shared" si="0"/>
        <v>-2378.9930086358731</v>
      </c>
      <c r="D21" s="4">
        <f t="shared" si="1"/>
        <v>-1143.1054212438219</v>
      </c>
      <c r="E21" s="4">
        <f t="shared" si="2"/>
        <v>-1235.8875873920513</v>
      </c>
      <c r="F21" s="4">
        <f>SUM($D$20:D21)</f>
        <v>-2272.0984298796952</v>
      </c>
      <c r="G21" s="4">
        <f>ПлатежиАннуитетФункции[[#This Row],[Баланс на начало периода]]+ПлатежиАннуитетФункции[[#This Row],[Тело кредита]]</f>
        <v>97727.901570120302</v>
      </c>
      <c r="H21" s="65">
        <f>PV($B$10,$B$11-ПлатежиАннуитетФункции[[#This Row],[Период (№месяца)]]+1,$C$15,$B$6,$B$12)/IF(ПлатежиАннуитетФункции[[#This Row],[Период (№месяца)]]=1,1,1+$B$12*$B$10)</f>
        <v>98871.006991364062</v>
      </c>
      <c r="I21" s="4">
        <f>-FV($B$10,ПлатежиАннуитетФункции[[#This Row],[Период (№месяца)]],$C$15,$B$5,$B$12)/(1+$B$12*$B$10)</f>
        <v>97727.901570120302</v>
      </c>
      <c r="K21" s="6">
        <v>2</v>
      </c>
      <c r="L21" s="67">
        <f t="shared" ref="L21:L79" si="3">IF(AND(K21=1,$B$12),$C$15,(1+$B$10)^(K21-1-$B$11)*($C$15-$B$6*$B$10/(1+$B$12*$B$10)))</f>
        <v>-1143.1054212438228</v>
      </c>
      <c r="M21" s="67">
        <f t="shared" ref="M21:M79" si="4">IF(AND(K21=1,$B$12),$C$15,(1+$B$10)^(K21-1)*($C$15+$B$5*$B$10/(1+$B$12*$B$10)))</f>
        <v>-1143.1054212438214</v>
      </c>
      <c r="N21" s="67">
        <f>ПлатежиАннуитетФункции[[#This Row],[Тело кредита]]-M21</f>
        <v>0</v>
      </c>
      <c r="O2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2" spans="1:15" x14ac:dyDescent="0.25">
      <c r="A22" s="3">
        <f>IF(ROW()-ROW(ПлатежиАннуитетФункции[[#Headers],[Период (№месяца)]])&gt;$B$11,0,ROW()-ROW(ПлатежиАннуитетФункции[[#Headers],[Период (№месяца)]]))</f>
        <v>3</v>
      </c>
      <c r="B22" s="4">
        <f>$B$5+SUM($D$19:D21)</f>
        <v>97727.901570120302</v>
      </c>
      <c r="C22" s="4">
        <f t="shared" si="0"/>
        <v>-2378.9930086358731</v>
      </c>
      <c r="D22" s="4">
        <f t="shared" si="1"/>
        <v>-1157.3942390093698</v>
      </c>
      <c r="E22" s="4">
        <f t="shared" si="2"/>
        <v>-1221.5987696265038</v>
      </c>
      <c r="F22" s="4">
        <f>SUM($D$20:D22)</f>
        <v>-3429.492668889065</v>
      </c>
      <c r="G22" s="4">
        <f>ПлатежиАннуитетФункции[[#This Row],[Баланс на начало периода]]+ПлатежиАннуитетФункции[[#This Row],[Тело кредита]]</f>
        <v>96570.50733111093</v>
      </c>
      <c r="H22" s="65">
        <f>PV($B$10,$B$11-ПлатежиАннуитетФункции[[#This Row],[Период (№месяца)]]+1,$C$15,$B$6,$B$12)/IF(ПлатежиАннуитетФункции[[#This Row],[Период (№месяца)]]=1,1,1+$B$12*$B$10)</f>
        <v>97727.901570120259</v>
      </c>
      <c r="I22" s="4">
        <f>-FV($B$10,ПлатежиАннуитетФункции[[#This Row],[Период (№месяца)]],$C$15,$B$5,$B$12)/(1+$B$12*$B$10)</f>
        <v>96570.507331110945</v>
      </c>
      <c r="K22" s="6">
        <v>3</v>
      </c>
      <c r="L22" s="67">
        <f t="shared" si="3"/>
        <v>-1157.39423900937</v>
      </c>
      <c r="M22" s="67">
        <f t="shared" si="4"/>
        <v>-1157.3942390093694</v>
      </c>
      <c r="N22" s="67">
        <f>ПлатежиАннуитетФункции[[#This Row],[Тело кредита]]-M22</f>
        <v>0</v>
      </c>
      <c r="O2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3" spans="1:15" x14ac:dyDescent="0.25">
      <c r="A23" s="3">
        <f>IF(ROW()-ROW(ПлатежиАннуитетФункции[[#Headers],[Период (№месяца)]])&gt;$B$11,0,ROW()-ROW(ПлатежиАннуитетФункции[[#Headers],[Период (№месяца)]]))</f>
        <v>4</v>
      </c>
      <c r="B23" s="4">
        <f>$B$5+SUM($D$19:D22)</f>
        <v>96570.50733111093</v>
      </c>
      <c r="C23" s="4">
        <f t="shared" si="0"/>
        <v>-2378.9930086358731</v>
      </c>
      <c r="D23" s="4">
        <f t="shared" si="1"/>
        <v>-1171.8616669969867</v>
      </c>
      <c r="E23" s="4">
        <f t="shared" si="2"/>
        <v>-1207.1313416388866</v>
      </c>
      <c r="F23" s="4">
        <f>SUM($D$20:D23)</f>
        <v>-4601.3543358860516</v>
      </c>
      <c r="G23" s="4">
        <f>ПлатежиАннуитетФункции[[#This Row],[Баланс на начало периода]]+ПлатежиАннуитетФункции[[#This Row],[Тело кредита]]</f>
        <v>95398.645664113938</v>
      </c>
      <c r="H23" s="65">
        <f>PV($B$10,$B$11-ПлатежиАннуитетФункции[[#This Row],[Период (№месяца)]]+1,$C$15,$B$6,$B$12)/IF(ПлатежиАннуитетФункции[[#This Row],[Период (№месяца)]]=1,1,1+$B$12*$B$10)</f>
        <v>96570.507331110857</v>
      </c>
      <c r="I23" s="4">
        <f>-FV($B$10,ПлатежиАннуитетФункции[[#This Row],[Период (№месяца)]],$C$15,$B$5,$B$12)/(1+$B$12*$B$10)</f>
        <v>95398.645664113952</v>
      </c>
      <c r="K23" s="6">
        <v>4</v>
      </c>
      <c r="L23" s="67">
        <f t="shared" si="3"/>
        <v>-1171.8616669969877</v>
      </c>
      <c r="M23" s="67">
        <f t="shared" si="4"/>
        <v>-1171.8616669969863</v>
      </c>
      <c r="N23" s="67">
        <f>ПлатежиАннуитетФункции[[#This Row],[Тело кредита]]-M23</f>
        <v>0</v>
      </c>
      <c r="O2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4" spans="1:15" x14ac:dyDescent="0.25">
      <c r="A24" s="3">
        <f>IF(ROW()-ROW(ПлатежиАннуитетФункции[[#Headers],[Период (№месяца)]])&gt;$B$11,0,ROW()-ROW(ПлатежиАннуитетФункции[[#Headers],[Период (№месяца)]]))</f>
        <v>5</v>
      </c>
      <c r="B24" s="4">
        <f>$B$5+SUM($D$19:D23)</f>
        <v>95398.645664113952</v>
      </c>
      <c r="C24" s="4">
        <f t="shared" si="0"/>
        <v>-2378.9930086358731</v>
      </c>
      <c r="D24" s="4">
        <f t="shared" si="1"/>
        <v>-1186.5099378344491</v>
      </c>
      <c r="E24" s="4">
        <f t="shared" si="2"/>
        <v>-1192.4830708014242</v>
      </c>
      <c r="F24" s="4">
        <f>SUM($D$20:D24)</f>
        <v>-5787.8642737205009</v>
      </c>
      <c r="G24" s="4">
        <f>ПлатежиАннуитетФункции[[#This Row],[Баланс на начало периода]]+ПлатежиАннуитетФункции[[#This Row],[Тело кредита]]</f>
        <v>94212.135726279506</v>
      </c>
      <c r="H24" s="65">
        <f>PV($B$10,$B$11-ПлатежиАннуитетФункции[[#This Row],[Период (№месяца)]]+1,$C$15,$B$6,$B$12)/IF(ПлатежиАннуитетФункции[[#This Row],[Период (№месяца)]]=1,1,1+$B$12*$B$10)</f>
        <v>95398.645664113865</v>
      </c>
      <c r="I24" s="4">
        <f>-FV($B$10,ПлатежиАннуитетФункции[[#This Row],[Период (№месяца)]],$C$15,$B$5,$B$12)/(1+$B$12*$B$10)</f>
        <v>94212.135726279521</v>
      </c>
      <c r="K24" s="6">
        <v>5</v>
      </c>
      <c r="L24" s="67">
        <f t="shared" si="3"/>
        <v>-1186.5099378344498</v>
      </c>
      <c r="M24" s="67">
        <f t="shared" si="4"/>
        <v>-1186.5099378344487</v>
      </c>
      <c r="N24" s="67">
        <f>ПлатежиАннуитетФункции[[#This Row],[Тело кредита]]-M24</f>
        <v>0</v>
      </c>
      <c r="O2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5" spans="1:15" x14ac:dyDescent="0.25">
      <c r="A25" s="3">
        <f>IF(ROW()-ROW(ПлатежиАннуитетФункции[[#Headers],[Период (№месяца)]])&gt;$B$11,0,ROW()-ROW(ПлатежиАннуитетФункции[[#Headers],[Период (№месяца)]]))</f>
        <v>6</v>
      </c>
      <c r="B25" s="4">
        <f>$B$5+SUM($D$19:D24)</f>
        <v>94212.135726279492</v>
      </c>
      <c r="C25" s="4">
        <f t="shared" si="0"/>
        <v>-2378.9930086358731</v>
      </c>
      <c r="D25" s="4">
        <f t="shared" si="1"/>
        <v>-1201.3413120573798</v>
      </c>
      <c r="E25" s="4">
        <f t="shared" si="2"/>
        <v>-1177.6516965784938</v>
      </c>
      <c r="F25" s="4">
        <f>SUM($D$20:D25)</f>
        <v>-6989.2055857778805</v>
      </c>
      <c r="G25" s="4">
        <f>ПлатежиАннуитетФункции[[#This Row],[Баланс на начало периода]]+ПлатежиАннуитетФункции[[#This Row],[Тело кредита]]</f>
        <v>93010.794414222109</v>
      </c>
      <c r="H25" s="65">
        <f>PV($B$10,$B$11-ПлатежиАннуитетФункции[[#This Row],[Период (№месяца)]]+1,$C$15,$B$6,$B$12)/IF(ПлатежиАннуитетФункции[[#This Row],[Период (№месяца)]]=1,1,1+$B$12*$B$10)</f>
        <v>94212.135726279434</v>
      </c>
      <c r="I25" s="4">
        <f>-FV($B$10,ПлатежиАннуитетФункции[[#This Row],[Период (№месяца)]],$C$15,$B$5,$B$12)/(1+$B$12*$B$10)</f>
        <v>93010.794414222124</v>
      </c>
      <c r="K25" s="6">
        <v>6</v>
      </c>
      <c r="L25" s="67">
        <f t="shared" si="3"/>
        <v>-1201.3413120573805</v>
      </c>
      <c r="M25" s="67">
        <f t="shared" si="4"/>
        <v>-1201.3413120573791</v>
      </c>
      <c r="N25" s="67">
        <f>ПлатежиАннуитетФункции[[#This Row],[Тело кредита]]-M25</f>
        <v>0</v>
      </c>
      <c r="O2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6" spans="1:15" x14ac:dyDescent="0.25">
      <c r="A26" s="3">
        <f>IF(ROW()-ROW(ПлатежиАннуитетФункции[[#Headers],[Период (№месяца)]])&gt;$B$11,0,ROW()-ROW(ПлатежиАннуитетФункции[[#Headers],[Период (№месяца)]]))</f>
        <v>7</v>
      </c>
      <c r="B26" s="4">
        <f>$B$5+SUM($D$19:D25)</f>
        <v>93010.794414222124</v>
      </c>
      <c r="C26" s="4">
        <f t="shared" si="0"/>
        <v>-2378.9930086358731</v>
      </c>
      <c r="D26" s="4">
        <f t="shared" si="1"/>
        <v>-1216.3580784580968</v>
      </c>
      <c r="E26" s="4">
        <f t="shared" si="2"/>
        <v>-1162.6349301777761</v>
      </c>
      <c r="F26" s="4">
        <f>SUM($D$20:D26)</f>
        <v>-8205.5636642359768</v>
      </c>
      <c r="G26" s="4">
        <f>ПлатежиАннуитетФункции[[#This Row],[Баланс на начало периода]]+ПлатежиАннуитетФункции[[#This Row],[Тело кредита]]</f>
        <v>91794.436335764025</v>
      </c>
      <c r="H26" s="65">
        <f>PV($B$10,$B$11-ПлатежиАннуитетФункции[[#This Row],[Период (№месяца)]]+1,$C$15,$B$6,$B$12)/IF(ПлатежиАннуитетФункции[[#This Row],[Период (№месяца)]]=1,1,1+$B$12*$B$10)</f>
        <v>93010.794414222051</v>
      </c>
      <c r="I26" s="4">
        <f>-FV($B$10,ПлатежиАннуитетФункции[[#This Row],[Период (№месяца)]],$C$15,$B$5,$B$12)/(1+$B$12*$B$10)</f>
        <v>91794.43633576404</v>
      </c>
      <c r="K26" s="6">
        <v>7</v>
      </c>
      <c r="L26" s="67">
        <f t="shared" si="3"/>
        <v>-1216.3580784580977</v>
      </c>
      <c r="M26" s="67">
        <f t="shared" si="4"/>
        <v>-1216.3580784580965</v>
      </c>
      <c r="N26" s="67">
        <f>ПлатежиАннуитетФункции[[#This Row],[Тело кредита]]-M26</f>
        <v>0</v>
      </c>
      <c r="O2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7" spans="1:15" x14ac:dyDescent="0.25">
      <c r="A27" s="3">
        <f>IF(ROW()-ROW(ПлатежиАннуитетФункции[[#Headers],[Период (№месяца)]])&gt;$B$11,0,ROW()-ROW(ПлатежиАннуитетФункции[[#Headers],[Период (№месяца)]]))</f>
        <v>8</v>
      </c>
      <c r="B27" s="4">
        <f>$B$5+SUM($D$19:D26)</f>
        <v>91794.436335764025</v>
      </c>
      <c r="C27" s="4">
        <f t="shared" si="0"/>
        <v>-2378.9930086358731</v>
      </c>
      <c r="D27" s="4">
        <f t="shared" si="1"/>
        <v>-1231.5625544388231</v>
      </c>
      <c r="E27" s="4">
        <f t="shared" si="2"/>
        <v>-1147.4304541970503</v>
      </c>
      <c r="F27" s="4">
        <f>SUM($D$20:D27)</f>
        <v>-9437.126218674799</v>
      </c>
      <c r="G27" s="4">
        <f>ПлатежиАннуитетФункции[[#This Row],[Баланс на начало периода]]+ПлатежиАннуитетФункции[[#This Row],[Тело кредита]]</f>
        <v>90562.873781325208</v>
      </c>
      <c r="H27" s="65">
        <f>PV($B$10,$B$11-ПлатежиАннуитетФункции[[#This Row],[Период (№месяца)]]+1,$C$15,$B$6,$B$12)/IF(ПлатежиАннуитетФункции[[#This Row],[Период (№месяца)]]=1,1,1+$B$12*$B$10)</f>
        <v>91794.436335763952</v>
      </c>
      <c r="I27" s="4">
        <f>-FV($B$10,ПлатежиАннуитетФункции[[#This Row],[Период (№месяца)]],$C$15,$B$5,$B$12)/(1+$B$12*$B$10)</f>
        <v>90562.873781325208</v>
      </c>
      <c r="K27" s="6">
        <v>8</v>
      </c>
      <c r="L27" s="67">
        <f t="shared" si="3"/>
        <v>-1231.562554438824</v>
      </c>
      <c r="M27" s="67">
        <f t="shared" si="4"/>
        <v>-1231.5625544388224</v>
      </c>
      <c r="N27" s="67">
        <f>ПлатежиАннуитетФункции[[#This Row],[Тело кредита]]-M27</f>
        <v>0</v>
      </c>
      <c r="O2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8" spans="1:15" x14ac:dyDescent="0.25">
      <c r="A28" s="3">
        <f>IF(ROW()-ROW(ПлатежиАннуитетФункции[[#Headers],[Период (№месяца)]])&gt;$B$11,0,ROW()-ROW(ПлатежиАннуитетФункции[[#Headers],[Период (№месяца)]]))</f>
        <v>9</v>
      </c>
      <c r="B28" s="4">
        <f>$B$5+SUM($D$19:D27)</f>
        <v>90562.873781325208</v>
      </c>
      <c r="C28" s="4">
        <f t="shared" si="0"/>
        <v>-2378.9930086358731</v>
      </c>
      <c r="D28" s="4">
        <f t="shared" si="1"/>
        <v>-1246.9570863693086</v>
      </c>
      <c r="E28" s="4">
        <f t="shared" si="2"/>
        <v>-1132.035922266565</v>
      </c>
      <c r="F28" s="4">
        <f>SUM($D$20:D28)</f>
        <v>-10684.083305044107</v>
      </c>
      <c r="G28" s="4">
        <f>ПлатежиАннуитетФункции[[#This Row],[Баланс на начало периода]]+ПлатежиАннуитетФункции[[#This Row],[Тело кредита]]</f>
        <v>89315.9166949559</v>
      </c>
      <c r="H28" s="65">
        <f>PV($B$10,$B$11-ПлатежиАннуитетФункции[[#This Row],[Период (№месяца)]]+1,$C$15,$B$6,$B$12)/IF(ПлатежиАннуитетФункции[[#This Row],[Период (№месяца)]]=1,1,1+$B$12*$B$10)</f>
        <v>90562.873781325135</v>
      </c>
      <c r="I28" s="4">
        <f>-FV($B$10,ПлатежиАннуитетФункции[[#This Row],[Период (№месяца)]],$C$15,$B$5,$B$12)/(1+$B$12*$B$10)</f>
        <v>89315.916694955915</v>
      </c>
      <c r="K28" s="6">
        <v>9</v>
      </c>
      <c r="L28" s="67">
        <f t="shared" si="3"/>
        <v>-1246.9570863693091</v>
      </c>
      <c r="M28" s="67">
        <f t="shared" si="4"/>
        <v>-1246.9570863693079</v>
      </c>
      <c r="N28" s="67">
        <f>ПлатежиАннуитетФункции[[#This Row],[Тело кредита]]-M28</f>
        <v>0</v>
      </c>
      <c r="O2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29" spans="1:15" x14ac:dyDescent="0.25">
      <c r="A29" s="3">
        <f>IF(ROW()-ROW(ПлатежиАннуитетФункции[[#Headers],[Период (№месяца)]])&gt;$B$11,0,ROW()-ROW(ПлатежиАннуитетФункции[[#Headers],[Период (№месяца)]]))</f>
        <v>10</v>
      </c>
      <c r="B29" s="4">
        <f>$B$5+SUM($D$19:D28)</f>
        <v>89315.9166949559</v>
      </c>
      <c r="C29" s="4">
        <f t="shared" si="0"/>
        <v>-2378.9930086358731</v>
      </c>
      <c r="D29" s="4">
        <f t="shared" si="1"/>
        <v>-1262.5440499489246</v>
      </c>
      <c r="E29" s="4">
        <f t="shared" si="2"/>
        <v>-1116.4489586869486</v>
      </c>
      <c r="F29" s="4">
        <f>SUM($D$20:D29)</f>
        <v>-11946.627354993032</v>
      </c>
      <c r="G29" s="4">
        <f>ПлатежиАннуитетФункции[[#This Row],[Баланс на начало периода]]+ПлатежиАннуитетФункции[[#This Row],[Тело кредита]]</f>
        <v>88053.372645006981</v>
      </c>
      <c r="H29" s="65">
        <f>PV($B$10,$B$11-ПлатежиАннуитетФункции[[#This Row],[Период (№месяца)]]+1,$C$15,$B$6,$B$12)/IF(ПлатежиАннуитетФункции[[#This Row],[Период (№месяца)]]=1,1,1+$B$12*$B$10)</f>
        <v>89315.916694955842</v>
      </c>
      <c r="I29" s="4">
        <f>-FV($B$10,ПлатежиАннуитетФункции[[#This Row],[Период (№месяца)]],$C$15,$B$5,$B$12)/(1+$B$12*$B$10)</f>
        <v>88053.372645006981</v>
      </c>
      <c r="K29" s="6">
        <v>10</v>
      </c>
      <c r="L29" s="67">
        <f t="shared" si="3"/>
        <v>-1262.5440499489255</v>
      </c>
      <c r="M29" s="67">
        <f t="shared" si="4"/>
        <v>-1262.5440499489243</v>
      </c>
      <c r="N29" s="67">
        <f>ПлатежиАннуитетФункции[[#This Row],[Тело кредита]]-M29</f>
        <v>0</v>
      </c>
      <c r="O2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0" spans="1:15" x14ac:dyDescent="0.25">
      <c r="A30" s="3">
        <f>IF(ROW()-ROW(ПлатежиАннуитетФункции[[#Headers],[Период (№месяца)]])&gt;$B$11,0,ROW()-ROW(ПлатежиАннуитетФункции[[#Headers],[Период (№месяца)]]))</f>
        <v>11</v>
      </c>
      <c r="B30" s="4">
        <f>$B$5+SUM($D$19:D29)</f>
        <v>88053.372645006966</v>
      </c>
      <c r="C30" s="4">
        <f t="shared" si="0"/>
        <v>-2378.9930086358731</v>
      </c>
      <c r="D30" s="4">
        <f t="shared" si="1"/>
        <v>-1278.3258505732865</v>
      </c>
      <c r="E30" s="4">
        <f t="shared" si="2"/>
        <v>-1100.6671580625871</v>
      </c>
      <c r="F30" s="4">
        <f>SUM($D$20:D30)</f>
        <v>-13224.953205566319</v>
      </c>
      <c r="G30" s="4">
        <f>ПлатежиАннуитетФункции[[#This Row],[Баланс на начало периода]]+ПлатежиАннуитетФункции[[#This Row],[Тело кредита]]</f>
        <v>86775.046794433685</v>
      </c>
      <c r="H30" s="65">
        <f>PV($B$10,$B$11-ПлатежиАннуитетФункции[[#This Row],[Период (№месяца)]]+1,$C$15,$B$6,$B$12)/IF(ПлатежиАннуитетФункции[[#This Row],[Период (№месяца)]]=1,1,1+$B$12*$B$10)</f>
        <v>88053.372645006937</v>
      </c>
      <c r="I30" s="4">
        <f>-FV($B$10,ПлатежиАннуитетФункции[[#This Row],[Период (№месяца)]],$C$15,$B$5,$B$12)/(1+$B$12*$B$10)</f>
        <v>86775.0467944337</v>
      </c>
      <c r="K30" s="6">
        <v>11</v>
      </c>
      <c r="L30" s="67">
        <f t="shared" si="3"/>
        <v>-1278.3258505732865</v>
      </c>
      <c r="M30" s="67">
        <f t="shared" si="4"/>
        <v>-1278.3258505732861</v>
      </c>
      <c r="N30" s="67">
        <f>ПлатежиАннуитетФункции[[#This Row],[Тело кредита]]-M30</f>
        <v>0</v>
      </c>
      <c r="O3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1" spans="1:15" x14ac:dyDescent="0.25">
      <c r="A31" s="3">
        <f>IF(ROW()-ROW(ПлатежиАннуитетФункции[[#Headers],[Период (№месяца)]])&gt;$B$11,0,ROW()-ROW(ПлатежиАннуитетФункции[[#Headers],[Период (№месяца)]]))</f>
        <v>12</v>
      </c>
      <c r="B31" s="4">
        <f>$B$5+SUM($D$19:D30)</f>
        <v>86775.046794433685</v>
      </c>
      <c r="C31" s="4">
        <f t="shared" si="0"/>
        <v>-2378.9930086358731</v>
      </c>
      <c r="D31" s="4">
        <f t="shared" si="1"/>
        <v>-1294.3049237054524</v>
      </c>
      <c r="E31" s="4">
        <f t="shared" si="2"/>
        <v>-1084.6880849304207</v>
      </c>
      <c r="F31" s="4">
        <f>SUM($D$20:D31)</f>
        <v>-14519.258129271771</v>
      </c>
      <c r="G31" s="4">
        <f>ПлатежиАннуитетФункции[[#This Row],[Баланс на начало периода]]+ПлатежиАннуитетФункции[[#This Row],[Тело кредита]]</f>
        <v>85480.741870728234</v>
      </c>
      <c r="H31" s="65">
        <f>PV($B$10,$B$11-ПлатежиАннуитетФункции[[#This Row],[Период (№месяца)]]+1,$C$15,$B$6,$B$12)/IF(ПлатежиАннуитетФункции[[#This Row],[Период (№месяца)]]=1,1,1+$B$12*$B$10)</f>
        <v>86775.046794433612</v>
      </c>
      <c r="I31" s="4">
        <f>-FV($B$10,ПлатежиАннуитетФункции[[#This Row],[Период (№месяца)]],$C$15,$B$5,$B$12)/(1+$B$12*$B$10)</f>
        <v>85480.741870728249</v>
      </c>
      <c r="K31" s="6">
        <v>12</v>
      </c>
      <c r="L31" s="67">
        <f t="shared" si="3"/>
        <v>-1294.3049237054531</v>
      </c>
      <c r="M31" s="67">
        <f t="shared" si="4"/>
        <v>-1294.3049237054518</v>
      </c>
      <c r="N31" s="67">
        <f>ПлатежиАннуитетФункции[[#This Row],[Тело кредита]]-M31</f>
        <v>0</v>
      </c>
      <c r="O3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2" spans="1:15" x14ac:dyDescent="0.25">
      <c r="A32" s="3">
        <f>IF(ROW()-ROW(ПлатежиАннуитетФункции[[#Headers],[Период (№месяца)]])&gt;$B$11,0,ROW()-ROW(ПлатежиАннуитетФункции[[#Headers],[Период (№месяца)]]))</f>
        <v>13</v>
      </c>
      <c r="B32" s="4">
        <f>$B$5+SUM($D$19:D31)</f>
        <v>85480.741870728234</v>
      </c>
      <c r="C32" s="4">
        <f t="shared" si="0"/>
        <v>-2378.9930086358731</v>
      </c>
      <c r="D32" s="4">
        <f t="shared" si="1"/>
        <v>-1310.4837352517707</v>
      </c>
      <c r="E32" s="4">
        <f t="shared" si="2"/>
        <v>-1068.5092733841029</v>
      </c>
      <c r="F32" s="4">
        <f>SUM($D$20:D32)</f>
        <v>-15829.741864523541</v>
      </c>
      <c r="G32" s="4">
        <f>ПлатежиАннуитетФункции[[#This Row],[Баланс на начало периода]]+ПлатежиАннуитетФункции[[#This Row],[Тело кредита]]</f>
        <v>84170.25813547647</v>
      </c>
      <c r="H32" s="65">
        <f>PV($B$10,$B$11-ПлатежиАннуитетФункции[[#This Row],[Период (№месяца)]]+1,$C$15,$B$6,$B$12)/IF(ПлатежиАннуитетФункции[[#This Row],[Период (№месяца)]]=1,1,1+$B$12*$B$10)</f>
        <v>85480.741870728176</v>
      </c>
      <c r="I32" s="4">
        <f>-FV($B$10,ПлатежиАннуитетФункции[[#This Row],[Период (№месяца)]],$C$15,$B$5,$B$12)/(1+$B$12*$B$10)</f>
        <v>84170.258135476499</v>
      </c>
      <c r="J32" s="4"/>
      <c r="K32" s="6">
        <v>13</v>
      </c>
      <c r="L32" s="67">
        <f t="shared" si="3"/>
        <v>-1310.4837352517711</v>
      </c>
      <c r="M32" s="67">
        <f t="shared" si="4"/>
        <v>-1310.48373525177</v>
      </c>
      <c r="N32" s="67">
        <f>ПлатежиАннуитетФункции[[#This Row],[Тело кредита]]-M32</f>
        <v>0</v>
      </c>
      <c r="O3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3" spans="1:15" x14ac:dyDescent="0.25">
      <c r="A33" s="3">
        <f>IF(ROW()-ROW(ПлатежиАннуитетФункции[[#Headers],[Период (№месяца)]])&gt;$B$11,0,ROW()-ROW(ПлатежиАннуитетФункции[[#Headers],[Период (№месяца)]]))</f>
        <v>14</v>
      </c>
      <c r="B33" s="4">
        <f>$B$5+SUM($D$19:D32)</f>
        <v>84170.258135476455</v>
      </c>
      <c r="C33" s="4">
        <f t="shared" si="0"/>
        <v>-2378.9930086358731</v>
      </c>
      <c r="D33" s="4">
        <f t="shared" si="1"/>
        <v>-1326.8647819424177</v>
      </c>
      <c r="E33" s="4">
        <f t="shared" si="2"/>
        <v>-1052.1282266934554</v>
      </c>
      <c r="F33" s="4">
        <f>SUM($D$20:D33)</f>
        <v>-17156.60664646596</v>
      </c>
      <c r="G33" s="4">
        <f>ПлатежиАннуитетФункции[[#This Row],[Баланс на начало периода]]+ПлатежиАннуитетФункции[[#This Row],[Тело кредита]]</f>
        <v>82843.393353534033</v>
      </c>
      <c r="H33" s="65">
        <f>PV($B$10,$B$11-ПлатежиАннуитетФункции[[#This Row],[Период (№месяца)]]+1,$C$15,$B$6,$B$12)/IF(ПлатежиАннуитетФункции[[#This Row],[Период (№месяца)]]=1,1,1+$B$12*$B$10)</f>
        <v>84170.258135476382</v>
      </c>
      <c r="I33" s="4">
        <f>-FV($B$10,ПлатежиАннуитетФункции[[#This Row],[Период (№месяца)]],$C$15,$B$5,$B$12)/(1+$B$12*$B$10)</f>
        <v>82843.393353534047</v>
      </c>
      <c r="K33" s="6">
        <v>14</v>
      </c>
      <c r="L33" s="67">
        <f t="shared" si="3"/>
        <v>-1326.8647819424184</v>
      </c>
      <c r="M33" s="67">
        <f t="shared" si="4"/>
        <v>-1326.864781942417</v>
      </c>
      <c r="N33" s="67">
        <f>ПлатежиАннуитетФункции[[#This Row],[Тело кредита]]-M33</f>
        <v>0</v>
      </c>
      <c r="O3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4" spans="1:15" x14ac:dyDescent="0.25">
      <c r="A34" s="3">
        <f>IF(ROW()-ROW(ПлатежиАннуитетФункции[[#Headers],[Период (№месяца)]])&gt;$B$11,0,ROW()-ROW(ПлатежиАннуитетФункции[[#Headers],[Период (№месяца)]]))</f>
        <v>15</v>
      </c>
      <c r="B34" s="4">
        <f>$B$5+SUM($D$19:D33)</f>
        <v>82843.393353534047</v>
      </c>
      <c r="C34" s="4">
        <f t="shared" si="0"/>
        <v>-2378.9930086358731</v>
      </c>
      <c r="D34" s="4">
        <f t="shared" si="1"/>
        <v>-1343.450591716698</v>
      </c>
      <c r="E34" s="4">
        <f t="shared" si="2"/>
        <v>-1035.5424169191751</v>
      </c>
      <c r="F34" s="4">
        <f>SUM($D$20:D34)</f>
        <v>-18500.057238182657</v>
      </c>
      <c r="G34" s="4">
        <f>ПлатежиАннуитетФункции[[#This Row],[Баланс на начало периода]]+ПлатежиАннуитетФункции[[#This Row],[Тело кредита]]</f>
        <v>81499.94276181735</v>
      </c>
      <c r="H34" s="65">
        <f>PV($B$10,$B$11-ПлатежиАннуитетФункции[[#This Row],[Период (№месяца)]]+1,$C$15,$B$6,$B$12)/IF(ПлатежиАннуитетФункции[[#This Row],[Период (№месяца)]]=1,1,1+$B$12*$B$10)</f>
        <v>82843.393353533989</v>
      </c>
      <c r="I34" s="4">
        <f>-FV($B$10,ПлатежиАннуитетФункции[[#This Row],[Период (№месяца)]],$C$15,$B$5,$B$12)/(1+$B$12*$B$10)</f>
        <v>81499.942761817394</v>
      </c>
      <c r="K34" s="6">
        <v>15</v>
      </c>
      <c r="L34" s="67">
        <f t="shared" si="3"/>
        <v>-1343.4505917166985</v>
      </c>
      <c r="M34" s="67">
        <f t="shared" si="4"/>
        <v>-1343.4505917166973</v>
      </c>
      <c r="N34" s="67">
        <f>ПлатежиАннуитетФункции[[#This Row],[Тело кредита]]-M34</f>
        <v>0</v>
      </c>
      <c r="O3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5" spans="1:15" x14ac:dyDescent="0.25">
      <c r="A35" s="3">
        <f>IF(ROW()-ROW(ПлатежиАннуитетФункции[[#Headers],[Период (№месяца)]])&gt;$B$11,0,ROW()-ROW(ПлатежиАннуитетФункции[[#Headers],[Период (№месяца)]]))</f>
        <v>16</v>
      </c>
      <c r="B35" s="4">
        <f>$B$5+SUM($D$19:D34)</f>
        <v>81499.942761817336</v>
      </c>
      <c r="C35" s="4">
        <f t="shared" si="0"/>
        <v>-2378.9930086358731</v>
      </c>
      <c r="D35" s="4">
        <f t="shared" si="1"/>
        <v>-1360.2437241131565</v>
      </c>
      <c r="E35" s="4">
        <f t="shared" si="2"/>
        <v>-1018.7492845227166</v>
      </c>
      <c r="F35" s="4">
        <f>SUM($D$20:D35)</f>
        <v>-19860.300962295812</v>
      </c>
      <c r="G35" s="4">
        <f>ПлатежиАннуитетФункции[[#This Row],[Баланс на начало периода]]+ПлатежиАннуитетФункции[[#This Row],[Тело кредита]]</f>
        <v>80139.69903770418</v>
      </c>
      <c r="H35" s="65">
        <f>PV($B$10,$B$11-ПлатежиАннуитетФункции[[#This Row],[Период (№месяца)]]+1,$C$15,$B$6,$B$12)/IF(ПлатежиАннуитетФункции[[#This Row],[Период (№месяца)]]=1,1,1+$B$12*$B$10)</f>
        <v>81499.942761817263</v>
      </c>
      <c r="I35" s="4">
        <f>-FV($B$10,ПлатежиАннуитетФункции[[#This Row],[Период (№месяца)]],$C$15,$B$5,$B$12)/(1+$B$12*$B$10)</f>
        <v>80139.699037704209</v>
      </c>
      <c r="K35" s="6">
        <v>16</v>
      </c>
      <c r="L35" s="67">
        <f t="shared" si="3"/>
        <v>-1360.2437241131574</v>
      </c>
      <c r="M35" s="67">
        <f t="shared" si="4"/>
        <v>-1360.2437241131558</v>
      </c>
      <c r="N35" s="67">
        <f>ПлатежиАннуитетФункции[[#This Row],[Тело кредита]]-M35</f>
        <v>0</v>
      </c>
      <c r="O3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-9.0949470177292824E-13</v>
      </c>
    </row>
    <row r="36" spans="1:15" x14ac:dyDescent="0.25">
      <c r="A36" s="3">
        <f>IF(ROW()-ROW(ПлатежиАннуитетФункции[[#Headers],[Период (№месяца)]])&gt;$B$11,0,ROW()-ROW(ПлатежиАннуитетФункции[[#Headers],[Период (№месяца)]]))</f>
        <v>17</v>
      </c>
      <c r="B36" s="4">
        <f>$B$5+SUM($D$19:D35)</f>
        <v>80139.69903770418</v>
      </c>
      <c r="C36" s="4">
        <f t="shared" si="0"/>
        <v>-2378.9930086358731</v>
      </c>
      <c r="D36" s="4">
        <f t="shared" si="1"/>
        <v>-1377.2467706645709</v>
      </c>
      <c r="E36" s="4">
        <f t="shared" si="2"/>
        <v>-1001.746237971302</v>
      </c>
      <c r="F36" s="4">
        <f>SUM($D$20:D36)</f>
        <v>-21237.547732960382</v>
      </c>
      <c r="G36" s="4">
        <f>ПлатежиАннуитетФункции[[#This Row],[Баланс на начало периода]]+ПлатежиАннуитетФункции[[#This Row],[Тело кредита]]</f>
        <v>78762.452267039611</v>
      </c>
      <c r="H36" s="65">
        <f>PV($B$10,$B$11-ПлатежиАннуитетФункции[[#This Row],[Период (№месяца)]]+1,$C$15,$B$6,$B$12)/IF(ПлатежиАннуитетФункции[[#This Row],[Период (№месяца)]]=1,1,1+$B$12*$B$10)</f>
        <v>80139.699037704137</v>
      </c>
      <c r="I36" s="4">
        <f>-FV($B$10,ПлатежиАннуитетФункции[[#This Row],[Период (№месяца)]],$C$15,$B$5,$B$12)/(1+$B$12*$B$10)</f>
        <v>78762.45226703964</v>
      </c>
      <c r="K36" s="6">
        <v>17</v>
      </c>
      <c r="L36" s="67">
        <f t="shared" si="3"/>
        <v>-1377.2467706645716</v>
      </c>
      <c r="M36" s="67">
        <f t="shared" si="4"/>
        <v>-1377.2467706645705</v>
      </c>
      <c r="N36" s="67">
        <f>ПлатежиАннуитетФункции[[#This Row],[Тело кредита]]-M36</f>
        <v>0</v>
      </c>
      <c r="O3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7" spans="1:15" x14ac:dyDescent="0.25">
      <c r="A37" s="3">
        <f>IF(ROW()-ROW(ПлатежиАннуитетФункции[[#Headers],[Период (№месяца)]])&gt;$B$11,0,ROW()-ROW(ПлатежиАннуитетФункции[[#Headers],[Период (№месяца)]]))</f>
        <v>18</v>
      </c>
      <c r="B37" s="4">
        <f>$B$5+SUM($D$19:D36)</f>
        <v>78762.452267039625</v>
      </c>
      <c r="C37" s="4">
        <f t="shared" si="0"/>
        <v>-2378.9930086358731</v>
      </c>
      <c r="D37" s="4">
        <f t="shared" si="1"/>
        <v>-1394.4623552978783</v>
      </c>
      <c r="E37" s="4">
        <f t="shared" si="2"/>
        <v>-984.53065333799509</v>
      </c>
      <c r="F37" s="4">
        <f>SUM($D$20:D37)</f>
        <v>-22632.010088258259</v>
      </c>
      <c r="G37" s="4">
        <f>ПлатежиАннуитетФункции[[#This Row],[Баланс на начало периода]]+ПлатежиАннуитетФункции[[#This Row],[Тело кредита]]</f>
        <v>77367.989911741752</v>
      </c>
      <c r="H37" s="65">
        <f>PV($B$10,$B$11-ПлатежиАннуитетФункции[[#This Row],[Период (№месяца)]]+1,$C$15,$B$6,$B$12)/IF(ПлатежиАннуитетФункции[[#This Row],[Период (№месяца)]]=1,1,1+$B$12*$B$10)</f>
        <v>78762.452267039553</v>
      </c>
      <c r="I37" s="4">
        <f>-FV($B$10,ПлатежиАннуитетФункции[[#This Row],[Период (№месяца)]],$C$15,$B$5,$B$12)/(1+$B$12*$B$10)</f>
        <v>77367.989911741752</v>
      </c>
      <c r="K37" s="6">
        <v>18</v>
      </c>
      <c r="L37" s="67">
        <f t="shared" si="3"/>
        <v>-1394.4623552978787</v>
      </c>
      <c r="M37" s="67">
        <f t="shared" si="4"/>
        <v>-1394.4623552978776</v>
      </c>
      <c r="N37" s="67">
        <f>ПлатежиАннуитетФункции[[#This Row],[Тело кредита]]-M37</f>
        <v>0</v>
      </c>
      <c r="O3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8" spans="1:15" x14ac:dyDescent="0.25">
      <c r="A38" s="3">
        <f>IF(ROW()-ROW(ПлатежиАннуитетФункции[[#Headers],[Период (№месяца)]])&gt;$B$11,0,ROW()-ROW(ПлатежиАннуитетФункции[[#Headers],[Период (№месяца)]]))</f>
        <v>19</v>
      </c>
      <c r="B38" s="4">
        <f>$B$5+SUM($D$19:D37)</f>
        <v>77367.989911741737</v>
      </c>
      <c r="C38" s="4">
        <f t="shared" si="0"/>
        <v>-2378.9930086358731</v>
      </c>
      <c r="D38" s="4">
        <f t="shared" si="1"/>
        <v>-1411.8931347391015</v>
      </c>
      <c r="E38" s="4">
        <f t="shared" si="2"/>
        <v>-967.09987389677121</v>
      </c>
      <c r="F38" s="4">
        <f>SUM($D$20:D38)</f>
        <v>-24043.90322299736</v>
      </c>
      <c r="G38" s="4">
        <f>ПлатежиАннуитетФункции[[#This Row],[Баланс на начало периода]]+ПлатежиАннуитетФункции[[#This Row],[Тело кредита]]</f>
        <v>75956.096777002633</v>
      </c>
      <c r="H38" s="65">
        <f>PV($B$10,$B$11-ПлатежиАннуитетФункции[[#This Row],[Период (№месяца)]]+1,$C$15,$B$6,$B$12)/IF(ПлатежиАннуитетФункции[[#This Row],[Период (№месяца)]]=1,1,1+$B$12*$B$10)</f>
        <v>77367.989911741694</v>
      </c>
      <c r="I38" s="4">
        <f>-FV($B$10,ПлатежиАннуитетФункции[[#This Row],[Период (№месяца)]],$C$15,$B$5,$B$12)/(1+$B$12*$B$10)</f>
        <v>75956.096777002676</v>
      </c>
      <c r="K38" s="6">
        <v>19</v>
      </c>
      <c r="L38" s="67">
        <f t="shared" si="3"/>
        <v>-1411.8931347391022</v>
      </c>
      <c r="M38" s="67">
        <f t="shared" si="4"/>
        <v>-1411.8931347391012</v>
      </c>
      <c r="N38" s="67">
        <f>ПлатежиАннуитетФункции[[#This Row],[Тело кредита]]-M38</f>
        <v>0</v>
      </c>
      <c r="O3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39" spans="1:15" x14ac:dyDescent="0.25">
      <c r="A39" s="3">
        <f>IF(ROW()-ROW(ПлатежиАннуитетФункции[[#Headers],[Период (№месяца)]])&gt;$B$11,0,ROW()-ROW(ПлатежиАннуитетФункции[[#Headers],[Период (№месяца)]]))</f>
        <v>20</v>
      </c>
      <c r="B39" s="4">
        <f>$B$5+SUM($D$19:D38)</f>
        <v>75956.096777002647</v>
      </c>
      <c r="C39" s="4">
        <f t="shared" si="0"/>
        <v>-2378.9930086358731</v>
      </c>
      <c r="D39" s="4">
        <f t="shared" si="1"/>
        <v>-1429.5417989233406</v>
      </c>
      <c r="E39" s="4">
        <f t="shared" si="2"/>
        <v>-949.45120971253266</v>
      </c>
      <c r="F39" s="4">
        <f>SUM($D$20:D39)</f>
        <v>-25473.445021920699</v>
      </c>
      <c r="G39" s="4">
        <f>ПлатежиАннуитетФункции[[#This Row],[Баланс на начало периода]]+ПлатежиАннуитетФункции[[#This Row],[Тело кредита]]</f>
        <v>74526.554978079308</v>
      </c>
      <c r="H39" s="65">
        <f>PV($B$10,$B$11-ПлатежиАннуитетФункции[[#This Row],[Период (№месяца)]]+1,$C$15,$B$6,$B$12)/IF(ПлатежиАннуитетФункции[[#This Row],[Период (№месяца)]]=1,1,1+$B$12*$B$10)</f>
        <v>75956.096777002589</v>
      </c>
      <c r="I39" s="4">
        <f>-FV($B$10,ПлатежиАннуитетФункции[[#This Row],[Период (№месяца)]],$C$15,$B$5,$B$12)/(1+$B$12*$B$10)</f>
        <v>74526.554978079308</v>
      </c>
      <c r="K39" s="6">
        <v>20</v>
      </c>
      <c r="L39" s="67">
        <f t="shared" si="3"/>
        <v>-1429.541798923341</v>
      </c>
      <c r="M39" s="67">
        <f t="shared" si="4"/>
        <v>-1429.5417989233397</v>
      </c>
      <c r="N39" s="67">
        <f>ПлатежиАннуитетФункции[[#This Row],[Тело кредита]]-M39</f>
        <v>0</v>
      </c>
      <c r="O3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40" spans="1:15" x14ac:dyDescent="0.25">
      <c r="A40" s="3">
        <f>IF(ROW()-ROW(ПлатежиАннуитетФункции[[#Headers],[Период (№месяца)]])&gt;$B$11,0,ROW()-ROW(ПлатежиАннуитетФункции[[#Headers],[Период (№месяца)]]))</f>
        <v>21</v>
      </c>
      <c r="B40" s="4">
        <f>$B$5+SUM($D$19:D39)</f>
        <v>74526.554978079308</v>
      </c>
      <c r="C40" s="4">
        <f t="shared" si="0"/>
        <v>-2378.9930086358731</v>
      </c>
      <c r="D40" s="4">
        <f t="shared" si="1"/>
        <v>-1447.4110714098822</v>
      </c>
      <c r="E40" s="4">
        <f t="shared" si="2"/>
        <v>-931.58193722599094</v>
      </c>
      <c r="F40" s="4">
        <f>SUM($D$20:D40)</f>
        <v>-26920.856093330582</v>
      </c>
      <c r="G40" s="4">
        <f>ПлатежиАннуитетФункции[[#This Row],[Баланс на начало периода]]+ПлатежиАннуитетФункции[[#This Row],[Тело кредита]]</f>
        <v>73079.143906669429</v>
      </c>
      <c r="H40" s="65">
        <f>PV($B$10,$B$11-ПлатежиАннуитетФункции[[#This Row],[Период (№месяца)]]+1,$C$15,$B$6,$B$12)/IF(ПлатежиАннуитетФункции[[#This Row],[Период (№месяца)]]=1,1,1+$B$12*$B$10)</f>
        <v>74526.554978079235</v>
      </c>
      <c r="I40" s="4">
        <f>-FV($B$10,ПлатежиАннуитетФункции[[#This Row],[Период (№месяца)]],$C$15,$B$5,$B$12)/(1+$B$12*$B$10)</f>
        <v>73079.143906669444</v>
      </c>
      <c r="K40" s="6">
        <v>21</v>
      </c>
      <c r="L40" s="67">
        <f t="shared" si="3"/>
        <v>-1447.4110714098827</v>
      </c>
      <c r="M40" s="67">
        <f t="shared" si="4"/>
        <v>-1447.4110714098815</v>
      </c>
      <c r="N40" s="67">
        <f>ПлатежиАннуитетФункции[[#This Row],[Тело кредита]]-M40</f>
        <v>0</v>
      </c>
      <c r="O4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41" spans="1:15" x14ac:dyDescent="0.25">
      <c r="A41" s="3">
        <f>IF(ROW()-ROW(ПлатежиАннуитетФункции[[#Headers],[Период (№месяца)]])&gt;$B$11,0,ROW()-ROW(ПлатежиАннуитетФункции[[#Headers],[Период (№месяца)]]))</f>
        <v>22</v>
      </c>
      <c r="B41" s="4">
        <f>$B$5+SUM($D$19:D40)</f>
        <v>73079.143906669415</v>
      </c>
      <c r="C41" s="4">
        <f t="shared" si="0"/>
        <v>-2378.9930086358731</v>
      </c>
      <c r="D41" s="4">
        <f t="shared" si="1"/>
        <v>-1465.5037098025057</v>
      </c>
      <c r="E41" s="4">
        <f t="shared" si="2"/>
        <v>-913.48929883336746</v>
      </c>
      <c r="F41" s="4">
        <f>SUM($D$20:D41)</f>
        <v>-28386.359803133088</v>
      </c>
      <c r="G41" s="4">
        <f>ПлатежиАннуитетФункции[[#This Row],[Баланс на начало периода]]+ПлатежиАннуитетФункции[[#This Row],[Тело кредита]]</f>
        <v>71613.640196866909</v>
      </c>
      <c r="H41" s="65">
        <f>PV($B$10,$B$11-ПлатежиАннуитетФункции[[#This Row],[Период (№месяца)]]+1,$C$15,$B$6,$B$12)/IF(ПлатежиАннуитетФункции[[#This Row],[Период (№месяца)]]=1,1,1+$B$12*$B$10)</f>
        <v>73079.143906669342</v>
      </c>
      <c r="I41" s="4">
        <f>-FV($B$10,ПлатежиАннуитетФункции[[#This Row],[Период (№месяца)]],$C$15,$B$5,$B$12)/(1+$B$12*$B$10)</f>
        <v>71613.640196866967</v>
      </c>
      <c r="K41" s="6">
        <v>22</v>
      </c>
      <c r="L41" s="67">
        <f t="shared" si="3"/>
        <v>-1465.5037098025064</v>
      </c>
      <c r="M41" s="67">
        <f t="shared" si="4"/>
        <v>-1465.5037098025048</v>
      </c>
      <c r="N41" s="67">
        <f>ПлатежиАннуитетФункции[[#This Row],[Тело кредита]]-M41</f>
        <v>0</v>
      </c>
      <c r="O4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42" spans="1:15" x14ac:dyDescent="0.25">
      <c r="A42" s="3">
        <f>IF(ROW()-ROW(ПлатежиАннуитетФункции[[#Headers],[Период (№месяца)]])&gt;$B$11,0,ROW()-ROW(ПлатежиАннуитетФункции[[#Headers],[Период (№месяца)]]))</f>
        <v>23</v>
      </c>
      <c r="B42" s="4">
        <f>$B$5+SUM($D$19:D41)</f>
        <v>71613.640196866909</v>
      </c>
      <c r="C42" s="4">
        <f t="shared" si="0"/>
        <v>-2378.9930086358731</v>
      </c>
      <c r="D42" s="4">
        <f t="shared" si="1"/>
        <v>-1483.822506175037</v>
      </c>
      <c r="E42" s="4">
        <f t="shared" si="2"/>
        <v>-895.17050246083613</v>
      </c>
      <c r="F42" s="4">
        <f>SUM($D$20:D42)</f>
        <v>-29870.182309308126</v>
      </c>
      <c r="G42" s="4">
        <f>ПлатежиАннуитетФункции[[#This Row],[Баланс на начало периода]]+ПлатежиАннуитетФункции[[#This Row],[Тело кредита]]</f>
        <v>70129.817690691867</v>
      </c>
      <c r="H42" s="65">
        <f>PV($B$10,$B$11-ПлатежиАннуитетФункции[[#This Row],[Период (№месяца)]]+1,$C$15,$B$6,$B$12)/IF(ПлатежиАннуитетФункции[[#This Row],[Период (№месяца)]]=1,1,1+$B$12*$B$10)</f>
        <v>71613.640196866865</v>
      </c>
      <c r="I42" s="4">
        <f>-FV($B$10,ПлатежиАннуитетФункции[[#This Row],[Период (№месяца)]],$C$15,$B$5,$B$12)/(1+$B$12*$B$10)</f>
        <v>70129.817690691925</v>
      </c>
      <c r="K42" s="6">
        <v>23</v>
      </c>
      <c r="L42" s="67">
        <f t="shared" si="3"/>
        <v>-1483.8225061750377</v>
      </c>
      <c r="M42" s="67">
        <f t="shared" si="4"/>
        <v>-1483.8225061750361</v>
      </c>
      <c r="N42" s="67">
        <f>ПлатежиАннуитетФункции[[#This Row],[Тело кредита]]-M42</f>
        <v>0</v>
      </c>
      <c r="O4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43" spans="1:15" x14ac:dyDescent="0.25">
      <c r="A43" s="3">
        <f>IF(ROW()-ROW(ПлатежиАннуитетФункции[[#Headers],[Период (№месяца)]])&gt;$B$11,0,ROW()-ROW(ПлатежиАннуитетФункции[[#Headers],[Период (№месяца)]]))</f>
        <v>24</v>
      </c>
      <c r="B43" s="4">
        <f>$B$5+SUM($D$19:D42)</f>
        <v>70129.817690691882</v>
      </c>
      <c r="C43" s="4">
        <f t="shared" si="0"/>
        <v>-2378.9930086358731</v>
      </c>
      <c r="D43" s="4">
        <f t="shared" si="1"/>
        <v>-1502.3702875022252</v>
      </c>
      <c r="E43" s="4">
        <f t="shared" si="2"/>
        <v>-876.62272113364804</v>
      </c>
      <c r="F43" s="4">
        <f>SUM($D$20:D43)</f>
        <v>-31372.55259681035</v>
      </c>
      <c r="G43" s="4">
        <f>ПлатежиАннуитетФункции[[#This Row],[Баланс на начало периода]]+ПлатежиАннуитетФункции[[#This Row],[Тело кредита]]</f>
        <v>68627.447403189653</v>
      </c>
      <c r="H43" s="65">
        <f>PV($B$10,$B$11-ПлатежиАннуитетФункции[[#This Row],[Период (№месяца)]]+1,$C$15,$B$6,$B$12)/IF(ПлатежиАннуитетФункции[[#This Row],[Период (№месяца)]]=1,1,1+$B$12*$B$10)</f>
        <v>70129.817690691823</v>
      </c>
      <c r="I43" s="4">
        <f>-FV($B$10,ПлатежиАннуитетФункции[[#This Row],[Период (№месяца)]],$C$15,$B$5,$B$12)/(1+$B$12*$B$10)</f>
        <v>68627.447403189668</v>
      </c>
      <c r="K43" s="6">
        <v>24</v>
      </c>
      <c r="L43" s="67">
        <f t="shared" si="3"/>
        <v>-1502.3702875022254</v>
      </c>
      <c r="M43" s="67">
        <f t="shared" si="4"/>
        <v>-1502.3702875022241</v>
      </c>
      <c r="N43" s="67">
        <f>ПлатежиАннуитетФункции[[#This Row],[Тело кредита]]-M43</f>
        <v>0</v>
      </c>
      <c r="O4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-1.1368683772161603E-12</v>
      </c>
    </row>
    <row r="44" spans="1:15" x14ac:dyDescent="0.25">
      <c r="A44" s="3">
        <f>IF(ROW()-ROW(ПлатежиАннуитетФункции[[#Headers],[Период (№месяца)]])&gt;$B$11,0,ROW()-ROW(ПлатежиАннуитетФункции[[#Headers],[Период (№месяца)]]))</f>
        <v>25</v>
      </c>
      <c r="B44" s="4">
        <f>$B$5+SUM($D$19:D43)</f>
        <v>68627.447403189653</v>
      </c>
      <c r="C44" s="4">
        <f t="shared" si="0"/>
        <v>-2378.9930086358731</v>
      </c>
      <c r="D44" s="4">
        <f t="shared" si="1"/>
        <v>-1521.1499160960027</v>
      </c>
      <c r="E44" s="4">
        <f t="shared" si="2"/>
        <v>-857.84309253987044</v>
      </c>
      <c r="F44" s="4">
        <f>SUM($D$20:D44)</f>
        <v>-32893.702512906355</v>
      </c>
      <c r="G44" s="4">
        <f>ПлатежиАннуитетФункции[[#This Row],[Баланс на начало периода]]+ПлатежиАннуитетФункции[[#This Row],[Тело кредита]]</f>
        <v>67106.297487093645</v>
      </c>
      <c r="H44" s="65">
        <f>PV($B$10,$B$11-ПлатежиАннуитетФункции[[#This Row],[Период (№месяца)]]+1,$C$15,$B$6,$B$12)/IF(ПлатежиАннуитетФункции[[#This Row],[Период (№месяца)]]=1,1,1+$B$12*$B$10)</f>
        <v>68627.447403189595</v>
      </c>
      <c r="I44" s="4">
        <f>-FV($B$10,ПлатежиАннуитетФункции[[#This Row],[Период (№месяца)]],$C$15,$B$5,$B$12)/(1+$B$12*$B$10)</f>
        <v>67106.297487093689</v>
      </c>
      <c r="K44" s="6">
        <v>25</v>
      </c>
      <c r="L44" s="67">
        <f t="shared" si="3"/>
        <v>-1521.1499160960034</v>
      </c>
      <c r="M44" s="67">
        <f t="shared" si="4"/>
        <v>-1521.149916096002</v>
      </c>
      <c r="N44" s="67">
        <f>ПлатежиАннуитетФункции[[#This Row],[Тело кредита]]-M44</f>
        <v>0</v>
      </c>
      <c r="O4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45" spans="1:15" x14ac:dyDescent="0.25">
      <c r="A45" s="3">
        <f>IF(ROW()-ROW(ПлатежиАннуитетФункции[[#Headers],[Период (№месяца)]])&gt;$B$11,0,ROW()-ROW(ПлатежиАннуитетФункции[[#Headers],[Период (№месяца)]]))</f>
        <v>26</v>
      </c>
      <c r="B45" s="4">
        <f>$B$5+SUM($D$19:D44)</f>
        <v>67106.297487093645</v>
      </c>
      <c r="C45" s="4">
        <f t="shared" si="0"/>
        <v>-2378.9930086358731</v>
      </c>
      <c r="D45" s="4">
        <f t="shared" si="1"/>
        <v>-1540.1642900472029</v>
      </c>
      <c r="E45" s="4">
        <f t="shared" si="2"/>
        <v>-838.82871858867031</v>
      </c>
      <c r="F45" s="4">
        <f>SUM($D$20:D45)</f>
        <v>-34433.866802953555</v>
      </c>
      <c r="G45" s="4">
        <f>ПлатежиАннуитетФункции[[#This Row],[Баланс на начало периода]]+ПлатежиАннуитетФункции[[#This Row],[Тело кредита]]</f>
        <v>65566.133197046438</v>
      </c>
      <c r="H45" s="65">
        <f>PV($B$10,$B$11-ПлатежиАннуитетФункции[[#This Row],[Период (№месяца)]]+1,$C$15,$B$6,$B$12)/IF(ПлатежиАннуитетФункции[[#This Row],[Период (№месяца)]]=1,1,1+$B$12*$B$10)</f>
        <v>67106.297487093587</v>
      </c>
      <c r="I45" s="4">
        <f>-FV($B$10,ПлатежиАннуитетФункции[[#This Row],[Период (№месяца)]],$C$15,$B$5,$B$12)/(1+$B$12*$B$10)</f>
        <v>65566.133197046467</v>
      </c>
      <c r="K45" s="6">
        <v>26</v>
      </c>
      <c r="L45" s="67">
        <f t="shared" si="3"/>
        <v>-1540.1642900472034</v>
      </c>
      <c r="M45" s="67">
        <f t="shared" si="4"/>
        <v>-1540.1642900472018</v>
      </c>
      <c r="N45" s="67">
        <f>ПлатежиАннуитетФункции[[#This Row],[Тело кредита]]-M45</f>
        <v>0</v>
      </c>
      <c r="O4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46" spans="1:15" x14ac:dyDescent="0.25">
      <c r="A46" s="3">
        <f>IF(ROW()-ROW(ПлатежиАннуитетФункции[[#Headers],[Период (№месяца)]])&gt;$B$11,0,ROW()-ROW(ПлатежиАннуитетФункции[[#Headers],[Период (№месяца)]]))</f>
        <v>27</v>
      </c>
      <c r="B46" s="4">
        <f>$B$5+SUM($D$19:D45)</f>
        <v>65566.133197046438</v>
      </c>
      <c r="C46" s="4">
        <f t="shared" si="0"/>
        <v>-2378.9930086358731</v>
      </c>
      <c r="D46" s="4">
        <f t="shared" si="1"/>
        <v>-1559.4163436727929</v>
      </c>
      <c r="E46" s="4">
        <f t="shared" si="2"/>
        <v>-819.57666496308025</v>
      </c>
      <c r="F46" s="4">
        <f>SUM($D$20:D46)</f>
        <v>-35993.283146626345</v>
      </c>
      <c r="G46" s="4">
        <f>ПлатежиАннуитетФункции[[#This Row],[Баланс на начало периода]]+ПлатежиАннуитетФункции[[#This Row],[Тело кредита]]</f>
        <v>64006.716853373648</v>
      </c>
      <c r="H46" s="65">
        <f>PV($B$10,$B$11-ПлатежиАннуитетФункции[[#This Row],[Период (№месяца)]]+1,$C$15,$B$6,$B$12)/IF(ПлатежиАннуитетФункции[[#This Row],[Период (№месяца)]]=1,1,1+$B$12*$B$10)</f>
        <v>65566.133197046394</v>
      </c>
      <c r="I46" s="4">
        <f>-FV($B$10,ПлатежиАннуитетФункции[[#This Row],[Период (№месяца)]],$C$15,$B$5,$B$12)/(1+$B$12*$B$10)</f>
        <v>64006.716853373713</v>
      </c>
      <c r="K46" s="6">
        <v>27</v>
      </c>
      <c r="L46" s="67">
        <f t="shared" si="3"/>
        <v>-1559.4163436727933</v>
      </c>
      <c r="M46" s="67">
        <f t="shared" si="4"/>
        <v>-1559.4163436727922</v>
      </c>
      <c r="N46" s="67">
        <f>ПлатежиАннуитетФункции[[#This Row],[Тело кредита]]-M46</f>
        <v>0</v>
      </c>
      <c r="O4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47" spans="1:15" x14ac:dyDescent="0.25">
      <c r="A47" s="3">
        <f>IF(ROW()-ROW(ПлатежиАннуитетФункции[[#Headers],[Период (№месяца)]])&gt;$B$11,0,ROW()-ROW(ПлатежиАннуитетФункции[[#Headers],[Период (№месяца)]]))</f>
        <v>28</v>
      </c>
      <c r="B47" s="4">
        <f>$B$5+SUM($D$19:D46)</f>
        <v>64006.716853373655</v>
      </c>
      <c r="C47" s="4">
        <f t="shared" si="0"/>
        <v>-2378.9930086358731</v>
      </c>
      <c r="D47" s="4">
        <f t="shared" si="1"/>
        <v>-1578.9090479687027</v>
      </c>
      <c r="E47" s="4">
        <f t="shared" si="2"/>
        <v>-800.08396066717035</v>
      </c>
      <c r="F47" s="4">
        <f>SUM($D$20:D47)</f>
        <v>-37572.192194595045</v>
      </c>
      <c r="G47" s="4">
        <f>ПлатежиАннуитетФункции[[#This Row],[Баланс на начало периода]]+ПлатежиАннуитетФункции[[#This Row],[Тело кредита]]</f>
        <v>62427.807805404955</v>
      </c>
      <c r="H47" s="65">
        <f>PV($B$10,$B$11-ПлатежиАннуитетФункции[[#This Row],[Период (№месяца)]]+1,$C$15,$B$6,$B$12)/IF(ПлатежиАннуитетФункции[[#This Row],[Период (№месяца)]]=1,1,1+$B$12*$B$10)</f>
        <v>64006.716853373604</v>
      </c>
      <c r="I47" s="4">
        <f>-FV($B$10,ПлатежиАннуитетФункции[[#This Row],[Период (№месяца)]],$C$15,$B$5,$B$12)/(1+$B$12*$B$10)</f>
        <v>62427.807805404998</v>
      </c>
      <c r="K47" s="6">
        <v>28</v>
      </c>
      <c r="L47" s="67">
        <f t="shared" si="3"/>
        <v>-1578.9090479687031</v>
      </c>
      <c r="M47" s="67">
        <f t="shared" si="4"/>
        <v>-1578.9090479687018</v>
      </c>
      <c r="N47" s="67">
        <f>ПлатежиАннуитетФункции[[#This Row],[Тело кредита]]-M47</f>
        <v>0</v>
      </c>
      <c r="O4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-1.1368683772161603E-12</v>
      </c>
    </row>
    <row r="48" spans="1:15" x14ac:dyDescent="0.25">
      <c r="A48" s="3">
        <f>IF(ROW()-ROW(ПлатежиАннуитетФункции[[#Headers],[Период (№месяца)]])&gt;$B$11,0,ROW()-ROW(ПлатежиАннуитетФункции[[#Headers],[Период (№месяца)]]))</f>
        <v>29</v>
      </c>
      <c r="B48" s="4">
        <f>$B$5+SUM($D$19:D47)</f>
        <v>62427.807805404955</v>
      </c>
      <c r="C48" s="4">
        <f t="shared" si="0"/>
        <v>-2378.9930086358731</v>
      </c>
      <c r="D48" s="4">
        <f t="shared" si="1"/>
        <v>-1598.6454110683114</v>
      </c>
      <c r="E48" s="4">
        <f t="shared" si="2"/>
        <v>-780.34759756756171</v>
      </c>
      <c r="F48" s="4">
        <f>SUM($D$20:D48)</f>
        <v>-39170.837605663357</v>
      </c>
      <c r="G48" s="4">
        <f>ПлатежиАннуитетФункции[[#This Row],[Баланс на начало периода]]+ПлатежиАннуитетФункции[[#This Row],[Тело кредита]]</f>
        <v>60829.162394336643</v>
      </c>
      <c r="H48" s="65">
        <f>PV($B$10,$B$11-ПлатежиАннуитетФункции[[#This Row],[Период (№месяца)]]+1,$C$15,$B$6,$B$12)/IF(ПлатежиАннуитетФункции[[#This Row],[Период (№месяца)]]=1,1,1+$B$12*$B$10)</f>
        <v>62427.807805404896</v>
      </c>
      <c r="I48" s="4">
        <f>-FV($B$10,ПлатежиАннуитетФункции[[#This Row],[Период (№месяца)]],$C$15,$B$5,$B$12)/(1+$B$12*$B$10)</f>
        <v>60829.162394336701</v>
      </c>
      <c r="K48" s="6">
        <v>29</v>
      </c>
      <c r="L48" s="67">
        <f t="shared" si="3"/>
        <v>-1598.6454110683119</v>
      </c>
      <c r="M48" s="67">
        <f t="shared" si="4"/>
        <v>-1598.6454110683105</v>
      </c>
      <c r="N48" s="67">
        <f>ПлатежиАннуитетФункции[[#This Row],[Тело кредита]]-M48</f>
        <v>0</v>
      </c>
      <c r="O4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49" spans="1:15" x14ac:dyDescent="0.25">
      <c r="A49" s="3">
        <f>IF(ROW()-ROW(ПлатежиАннуитетФункции[[#Headers],[Период (№месяца)]])&gt;$B$11,0,ROW()-ROW(ПлатежиАннуитетФункции[[#Headers],[Период (№месяца)]]))</f>
        <v>30</v>
      </c>
      <c r="B49" s="4">
        <f>$B$5+SUM($D$19:D48)</f>
        <v>60829.162394336643</v>
      </c>
      <c r="C49" s="4">
        <f t="shared" si="0"/>
        <v>-2378.9930086358731</v>
      </c>
      <c r="D49" s="4">
        <f t="shared" si="1"/>
        <v>-1618.6284787066654</v>
      </c>
      <c r="E49" s="4">
        <f t="shared" si="2"/>
        <v>-760.36452992920783</v>
      </c>
      <c r="F49" s="4">
        <f>SUM($D$20:D49)</f>
        <v>-40789.466084370026</v>
      </c>
      <c r="G49" s="4">
        <f>ПлатежиАннуитетФункции[[#This Row],[Баланс на начало периода]]+ПлатежиАннуитетФункции[[#This Row],[Тело кредита]]</f>
        <v>59210.533915629974</v>
      </c>
      <c r="H49" s="65">
        <f>PV($B$10,$B$11-ПлатежиАннуитетФункции[[#This Row],[Период (№месяца)]]+1,$C$15,$B$6,$B$12)/IF(ПлатежиАннуитетФункции[[#This Row],[Период (№месяца)]]=1,1,1+$B$12*$B$10)</f>
        <v>60829.162394336563</v>
      </c>
      <c r="I49" s="4">
        <f>-FV($B$10,ПлатежиАннуитетФункции[[#This Row],[Период (№месяца)]],$C$15,$B$5,$B$12)/(1+$B$12*$B$10)</f>
        <v>59210.533915630003</v>
      </c>
      <c r="K49" s="6">
        <v>30</v>
      </c>
      <c r="L49" s="67">
        <f t="shared" si="3"/>
        <v>-1618.6284787066663</v>
      </c>
      <c r="M49" s="67">
        <f t="shared" si="4"/>
        <v>-1618.6284787066643</v>
      </c>
      <c r="N49" s="67">
        <f>ПлатежиАннуитетФункции[[#This Row],[Тело кредита]]-M49</f>
        <v>0</v>
      </c>
      <c r="O4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-9.0949470177292824E-13</v>
      </c>
    </row>
    <row r="50" spans="1:15" x14ac:dyDescent="0.25">
      <c r="A50" s="3">
        <f>IF(ROW()-ROW(ПлатежиАннуитетФункции[[#Headers],[Период (№месяца)]])&gt;$B$11,0,ROW()-ROW(ПлатежиАннуитетФункции[[#Headers],[Период (№месяца)]]))</f>
        <v>31</v>
      </c>
      <c r="B50" s="4">
        <f>$B$5+SUM($D$19:D49)</f>
        <v>59210.533915629974</v>
      </c>
      <c r="C50" s="4">
        <f t="shared" si="0"/>
        <v>-2378.9930086358731</v>
      </c>
      <c r="D50" s="4">
        <f t="shared" si="1"/>
        <v>-1638.8613346904988</v>
      </c>
      <c r="E50" s="4">
        <f t="shared" si="2"/>
        <v>-740.13167394537447</v>
      </c>
      <c r="F50" s="4">
        <f>SUM($D$20:D50)</f>
        <v>-42428.327419060523</v>
      </c>
      <c r="G50" s="4">
        <f>ПлатежиАннуитетФункции[[#This Row],[Баланс на начало периода]]+ПлатежиАннуитетФункции[[#This Row],[Тело кредита]]</f>
        <v>57571.672580939477</v>
      </c>
      <c r="H50" s="65">
        <f>PV($B$10,$B$11-ПлатежиАннуитетФункции[[#This Row],[Период (№месяца)]]+1,$C$15,$B$6,$B$12)/IF(ПлатежиАннуитетФункции[[#This Row],[Период (№месяца)]]=1,1,1+$B$12*$B$10)</f>
        <v>59210.533915629931</v>
      </c>
      <c r="I50" s="4">
        <f>-FV($B$10,ПлатежиАннуитетФункции[[#This Row],[Период (№месяца)]],$C$15,$B$5,$B$12)/(1+$B$12*$B$10)</f>
        <v>57571.672580939558</v>
      </c>
      <c r="K50" s="6">
        <v>31</v>
      </c>
      <c r="L50" s="67">
        <f t="shared" si="3"/>
        <v>-1638.861334690499</v>
      </c>
      <c r="M50" s="67">
        <f t="shared" si="4"/>
        <v>-1638.8613346904981</v>
      </c>
      <c r="N50" s="67">
        <f>ПлатежиАннуитетФункции[[#This Row],[Тело кредита]]-M50</f>
        <v>0</v>
      </c>
      <c r="O5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51" spans="1:15" x14ac:dyDescent="0.25">
      <c r="A51" s="3">
        <f>IF(ROW()-ROW(ПлатежиАннуитетФункции[[#Headers],[Период (№месяца)]])&gt;$B$11,0,ROW()-ROW(ПлатежиАннуитетФункции[[#Headers],[Период (№месяца)]]))</f>
        <v>32</v>
      </c>
      <c r="B51" s="4">
        <f>$B$5+SUM($D$19:D50)</f>
        <v>57571.672580939477</v>
      </c>
      <c r="C51" s="4">
        <f t="shared" si="0"/>
        <v>-2378.9930086358731</v>
      </c>
      <c r="D51" s="4">
        <f t="shared" si="1"/>
        <v>-1659.3471013741298</v>
      </c>
      <c r="E51" s="4">
        <f t="shared" si="2"/>
        <v>-719.64590726174322</v>
      </c>
      <c r="F51" s="4">
        <f>SUM($D$20:D51)</f>
        <v>-44087.674520434652</v>
      </c>
      <c r="G51" s="4">
        <f>ПлатежиАннуитетФункции[[#This Row],[Баланс на начало периода]]+ПлатежиАннуитетФункции[[#This Row],[Тело кредита]]</f>
        <v>55912.325479565348</v>
      </c>
      <c r="H51" s="65">
        <f>PV($B$10,$B$11-ПлатежиАннуитетФункции[[#This Row],[Период (№месяца)]]+1,$C$15,$B$6,$B$12)/IF(ПлатежиАннуитетФункции[[#This Row],[Период (№месяца)]]=1,1,1+$B$12*$B$10)</f>
        <v>57571.672580939397</v>
      </c>
      <c r="I51" s="4">
        <f>-FV($B$10,ПлатежиАннуитетФункции[[#This Row],[Период (№месяца)]],$C$15,$B$5,$B$12)/(1+$B$12*$B$10)</f>
        <v>55912.325479565407</v>
      </c>
      <c r="K51" s="6">
        <v>32</v>
      </c>
      <c r="L51" s="67">
        <f t="shared" si="3"/>
        <v>-1659.3471013741305</v>
      </c>
      <c r="M51" s="67">
        <f t="shared" si="4"/>
        <v>-1659.3471013741289</v>
      </c>
      <c r="N51" s="67">
        <f>ПлатежиАннуитетФункции[[#This Row],[Тело кредита]]-M51</f>
        <v>0</v>
      </c>
      <c r="O5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-1.2505552149377763E-12</v>
      </c>
    </row>
    <row r="52" spans="1:15" x14ac:dyDescent="0.25">
      <c r="A52" s="3">
        <f>IF(ROW()-ROW(ПлатежиАннуитетФункции[[#Headers],[Период (№месяца)]])&gt;$B$11,0,ROW()-ROW(ПлатежиАннуитетФункции[[#Headers],[Период (№месяца)]]))</f>
        <v>33</v>
      </c>
      <c r="B52" s="4">
        <f>$B$5+SUM($D$19:D51)</f>
        <v>55912.325479565348</v>
      </c>
      <c r="C52" s="4">
        <f t="shared" ref="C52:C79" si="5">PMT($B$10,$B$11,$B$5,$B$6,$B$12)</f>
        <v>-2378.9930086358731</v>
      </c>
      <c r="D52" s="4">
        <f t="shared" ref="D52:D79" si="6">PPMT($B$10,A52,$B$11,$B$5,$B$6,$B$12)</f>
        <v>-1680.0889401413067</v>
      </c>
      <c r="E52" s="4">
        <f t="shared" ref="E52:E79" si="7">IPMT($B$10,A52,$B$11,$B$5,$B$6,$B$12)</f>
        <v>-698.90406849456656</v>
      </c>
      <c r="F52" s="4">
        <f>SUM($D$20:D52)</f>
        <v>-45767.763460575959</v>
      </c>
      <c r="G52" s="4">
        <f>ПлатежиАннуитетФункции[[#This Row],[Баланс на начало периода]]+ПлатежиАннуитетФункции[[#This Row],[Тело кредита]]</f>
        <v>54232.236539424041</v>
      </c>
      <c r="H52" s="65">
        <f>PV($B$10,$B$11-ПлатежиАннуитетФункции[[#This Row],[Период (№месяца)]]+1,$C$15,$B$6,$B$12)/IF(ПлатежиАннуитетФункции[[#This Row],[Период (№месяца)]]=1,1,1+$B$12*$B$10)</f>
        <v>55912.325479565283</v>
      </c>
      <c r="I52" s="4">
        <f>-FV($B$10,ПлатежиАннуитетФункции[[#This Row],[Период (№месяца)]],$C$15,$B$5,$B$12)/(1+$B$12*$B$10)</f>
        <v>54232.236539424091</v>
      </c>
      <c r="K52" s="6">
        <v>33</v>
      </c>
      <c r="L52" s="67">
        <f t="shared" si="3"/>
        <v>-1680.0889401413069</v>
      </c>
      <c r="M52" s="67">
        <f t="shared" si="4"/>
        <v>-1680.0889401413056</v>
      </c>
      <c r="N52" s="67">
        <f>ПлатежиАннуитетФункции[[#This Row],[Тело кредита]]-M52</f>
        <v>0</v>
      </c>
      <c r="O5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53" spans="1:15" x14ac:dyDescent="0.25">
      <c r="A53" s="3">
        <f>IF(ROW()-ROW(ПлатежиАннуитетФункции[[#Headers],[Период (№месяца)]])&gt;$B$11,0,ROW()-ROW(ПлатежиАннуитетФункции[[#Headers],[Период (№месяца)]]))</f>
        <v>34</v>
      </c>
      <c r="B53" s="4">
        <f>$B$5+SUM($D$19:D52)</f>
        <v>54232.236539424041</v>
      </c>
      <c r="C53" s="4">
        <f t="shared" si="5"/>
        <v>-2378.9930086358731</v>
      </c>
      <c r="D53" s="4">
        <f t="shared" si="6"/>
        <v>-1701.0900518930728</v>
      </c>
      <c r="E53" s="4">
        <f t="shared" si="7"/>
        <v>-677.90295674280026</v>
      </c>
      <c r="F53" s="4">
        <f>SUM($D$20:D53)</f>
        <v>-47468.853512469032</v>
      </c>
      <c r="G53" s="4">
        <f>ПлатежиАннуитетФункции[[#This Row],[Баланс на начало периода]]+ПлатежиАннуитетФункции[[#This Row],[Тело кредита]]</f>
        <v>52531.146487530968</v>
      </c>
      <c r="H53" s="65">
        <f>PV($B$10,$B$11-ПлатежиАннуитетФункции[[#This Row],[Период (№месяца)]]+1,$C$15,$B$6,$B$12)/IF(ПлатежиАннуитетФункции[[#This Row],[Период (№месяца)]]=1,1,1+$B$12*$B$10)</f>
        <v>54232.236539423968</v>
      </c>
      <c r="I53" s="4">
        <f>-FV($B$10,ПлатежиАннуитетФункции[[#This Row],[Период (№месяца)]],$C$15,$B$5,$B$12)/(1+$B$12*$B$10)</f>
        <v>52531.146487531005</v>
      </c>
      <c r="K53" s="6">
        <v>34</v>
      </c>
      <c r="L53" s="67">
        <f t="shared" si="3"/>
        <v>-1701.0900518930735</v>
      </c>
      <c r="M53" s="67">
        <f t="shared" si="4"/>
        <v>-1701.0900518930719</v>
      </c>
      <c r="N53" s="67">
        <f>ПлатежиАннуитетФункции[[#This Row],[Тело кредита]]-M53</f>
        <v>0</v>
      </c>
      <c r="O5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54" spans="1:15" x14ac:dyDescent="0.25">
      <c r="A54" s="3">
        <f>IF(ROW()-ROW(ПлатежиАннуитетФункции[[#Headers],[Период (№месяца)]])&gt;$B$11,0,ROW()-ROW(ПлатежиАннуитетФункции[[#Headers],[Период (№месяца)]]))</f>
        <v>35</v>
      </c>
      <c r="B54" s="4">
        <f>$B$5+SUM($D$19:D53)</f>
        <v>52531.146487530968</v>
      </c>
      <c r="C54" s="4">
        <f t="shared" si="5"/>
        <v>-2378.9930086358731</v>
      </c>
      <c r="D54" s="4">
        <f t="shared" si="6"/>
        <v>-1722.3536775417363</v>
      </c>
      <c r="E54" s="4">
        <f t="shared" si="7"/>
        <v>-656.63933109413699</v>
      </c>
      <c r="F54" s="4">
        <f>SUM($D$20:D54)</f>
        <v>-49191.207190010769</v>
      </c>
      <c r="G54" s="4">
        <f>ПлатежиАннуитетФункции[[#This Row],[Баланс на начало периода]]+ПлатежиАннуитетФункции[[#This Row],[Тело кредита]]</f>
        <v>50808.792809989231</v>
      </c>
      <c r="H54" s="65">
        <f>PV($B$10,$B$11-ПлатежиАннуитетФункции[[#This Row],[Период (№месяца)]]+1,$C$15,$B$6,$B$12)/IF(ПлатежиАннуитетФункции[[#This Row],[Период (№месяца)]]=1,1,1+$B$12*$B$10)</f>
        <v>52531.146487530939</v>
      </c>
      <c r="I54" s="4">
        <f>-FV($B$10,ПлатежиАннуитетФункции[[#This Row],[Период (№месяца)]],$C$15,$B$5,$B$12)/(1+$B$12*$B$10)</f>
        <v>50808.792809989303</v>
      </c>
      <c r="K54" s="6">
        <v>35</v>
      </c>
      <c r="L54" s="67">
        <f t="shared" si="3"/>
        <v>-1722.3536775417365</v>
      </c>
      <c r="M54" s="67">
        <f t="shared" si="4"/>
        <v>-1722.3536775417354</v>
      </c>
      <c r="N54" s="67">
        <f>ПлатежиАннуитетФункции[[#This Row],[Тело кредита]]-M54</f>
        <v>0</v>
      </c>
      <c r="O5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0</v>
      </c>
    </row>
    <row r="55" spans="1:15" x14ac:dyDescent="0.25">
      <c r="A55" s="3">
        <f>IF(ROW()-ROW(ПлатежиАннуитетФункции[[#Headers],[Период (№месяца)]])&gt;$B$11,0,ROW()-ROW(ПлатежиАннуитетФункции[[#Headers],[Период (№месяца)]]))</f>
        <v>36</v>
      </c>
      <c r="B55" s="4">
        <f>$B$5+SUM($D$19:D54)</f>
        <v>50808.792809989231</v>
      </c>
      <c r="C55" s="4">
        <f t="shared" si="5"/>
        <v>-2378.9930086358731</v>
      </c>
      <c r="D55" s="4">
        <f t="shared" si="6"/>
        <v>-1743.883098511008</v>
      </c>
      <c r="E55" s="4">
        <f t="shared" si="7"/>
        <v>-635.10991012486534</v>
      </c>
      <c r="F55" s="4">
        <f>SUM($D$20:D55)</f>
        <v>-50935.09028852178</v>
      </c>
      <c r="G55" s="4">
        <f>ПлатежиАннуитетФункции[[#This Row],[Баланс на начало периода]]+ПлатежиАннуитетФункции[[#This Row],[Тело кредита]]</f>
        <v>49064.90971147822</v>
      </c>
      <c r="H55" s="65">
        <f>PV($B$10,$B$11-ПлатежиАннуитетФункции[[#This Row],[Период (№месяца)]]+1,$C$15,$B$6,$B$12)/IF(ПлатежиАннуитетФункции[[#This Row],[Период (№месяца)]]=1,1,1+$B$12*$B$10)</f>
        <v>50808.79280998918</v>
      </c>
      <c r="I55" s="4">
        <f>-FV($B$10,ПлатежиАннуитетФункции[[#This Row],[Период (№месяца)]],$C$15,$B$5,$B$12)/(1+$B$12*$B$10)</f>
        <v>49064.909711478263</v>
      </c>
      <c r="K55" s="6">
        <v>36</v>
      </c>
      <c r="L55" s="67">
        <f t="shared" si="3"/>
        <v>-1743.8830985110087</v>
      </c>
      <c r="M55" s="67">
        <f t="shared" si="4"/>
        <v>-1743.8830985110069</v>
      </c>
      <c r="N55" s="67">
        <f>ПлатежиАннуитетФункции[[#This Row],[Тело кредита]]-M55</f>
        <v>0</v>
      </c>
      <c r="O5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-9.0949470177292824E-13</v>
      </c>
    </row>
    <row r="56" spans="1:15" x14ac:dyDescent="0.25">
      <c r="A56" s="3">
        <f>IF(ROW()-ROW(ПлатежиАннуитетФункции[[#Headers],[Период (№месяца)]])&gt;$B$11,0,ROW()-ROW(ПлатежиАннуитетФункции[[#Headers],[Период (№месяца)]]))</f>
        <v>37</v>
      </c>
      <c r="B56" s="4">
        <f>$B$5+SUM($D$19:D55)</f>
        <v>49064.90971147822</v>
      </c>
      <c r="C56" s="4">
        <f t="shared" si="5"/>
        <v>-2378.9930086358731</v>
      </c>
      <c r="D56" s="4">
        <f t="shared" si="6"/>
        <v>-1765.6816372423955</v>
      </c>
      <c r="E56" s="4">
        <f t="shared" si="7"/>
        <v>-613.31137139347766</v>
      </c>
      <c r="F56" s="4">
        <f>SUM($D$20:D56)</f>
        <v>-52700.771925764173</v>
      </c>
      <c r="G56" s="4">
        <f>ПлатежиАннуитетФункции[[#This Row],[Баланс на начало периода]]+ПлатежиАннуитетФункции[[#This Row],[Тело кредита]]</f>
        <v>47299.228074235827</v>
      </c>
      <c r="H56" s="65">
        <f>PV($B$10,$B$11-ПлатежиАннуитетФункции[[#This Row],[Период (№месяца)]]+1,$C$15,$B$6,$B$12)/IF(ПлатежиАннуитетФункции[[#This Row],[Период (№месяца)]]=1,1,1+$B$12*$B$10)</f>
        <v>49064.909711478176</v>
      </c>
      <c r="I56" s="4">
        <f>-FV($B$10,ПлатежиАннуитетФункции[[#This Row],[Период (№месяца)]],$C$15,$B$5,$B$12)/(1+$B$12*$B$10)</f>
        <v>47299.2280742359</v>
      </c>
      <c r="K56" s="6">
        <v>37</v>
      </c>
      <c r="L56" s="67">
        <f t="shared" si="3"/>
        <v>-1765.6816372423959</v>
      </c>
      <c r="M56" s="67">
        <f t="shared" si="4"/>
        <v>-1765.6816372423946</v>
      </c>
      <c r="N56" s="67">
        <f>ПлатежиАннуитетФункции[[#This Row],[Тело кредита]]-M56</f>
        <v>0</v>
      </c>
      <c r="O5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-9.0949470177292824E-13</v>
      </c>
    </row>
    <row r="57" spans="1:15" x14ac:dyDescent="0.25">
      <c r="A57" s="3">
        <f>IF(ROW()-ROW(ПлатежиАннуитетФункции[[#Headers],[Период (№месяца)]])&gt;$B$11,0,ROW()-ROW(ПлатежиАннуитетФункции[[#Headers],[Период (№месяца)]]))</f>
        <v>38</v>
      </c>
      <c r="B57" s="4">
        <f>$B$5+SUM($D$19:D56)</f>
        <v>47299.228074235827</v>
      </c>
      <c r="C57" s="4">
        <f t="shared" si="5"/>
        <v>-2378.9930086358731</v>
      </c>
      <c r="D57" s="4">
        <f t="shared" si="6"/>
        <v>-1787.7526577079257</v>
      </c>
      <c r="E57" s="4">
        <f t="shared" si="7"/>
        <v>-591.24035092794759</v>
      </c>
      <c r="F57" s="4">
        <f>SUM($D$20:D57)</f>
        <v>-54488.524583472099</v>
      </c>
      <c r="G57" s="4">
        <f>ПлатежиАннуитетФункции[[#This Row],[Баланс на начало периода]]+ПлатежиАннуитетФункции[[#This Row],[Тело кредита]]</f>
        <v>45511.475416527901</v>
      </c>
      <c r="H57" s="65">
        <f>PV($B$10,$B$11-ПлатежиАннуитетФункции[[#This Row],[Период (№месяца)]]+1,$C$15,$B$6,$B$12)/IF(ПлатежиАннуитетФункции[[#This Row],[Период (№месяца)]]=1,1,1+$B$12*$B$10)</f>
        <v>47299.228074235762</v>
      </c>
      <c r="I57" s="4">
        <f>-FV($B$10,ПлатежиАннуитетФункции[[#This Row],[Период (№месяца)]],$C$15,$B$5,$B$12)/(1+$B$12*$B$10)</f>
        <v>45511.475416527959</v>
      </c>
      <c r="K57" s="6">
        <v>38</v>
      </c>
      <c r="L57" s="67">
        <f t="shared" si="3"/>
        <v>-1787.7526577079261</v>
      </c>
      <c r="M57" s="67">
        <f t="shared" si="4"/>
        <v>-1787.7526577079243</v>
      </c>
      <c r="N57" s="67">
        <f>ПлатежиАннуитетФункции[[#This Row],[Тело кредита]]-M57</f>
        <v>0</v>
      </c>
      <c r="O5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-1.1368683772161603E-12</v>
      </c>
    </row>
    <row r="58" spans="1:15" x14ac:dyDescent="0.25">
      <c r="A58" s="3">
        <f>IF(ROW()-ROW(ПлатежиАннуитетФункции[[#Headers],[Период (№месяца)]])&gt;$B$11,0,ROW()-ROW(ПлатежиАннуитетФункции[[#Headers],[Период (№месяца)]]))</f>
        <v>39</v>
      </c>
      <c r="B58" s="4">
        <f>$B$5+SUM($D$19:D57)</f>
        <v>45511.475416527901</v>
      </c>
      <c r="C58" s="4">
        <f t="shared" si="5"/>
        <v>-2378.9930086358731</v>
      </c>
      <c r="D58" s="4">
        <f t="shared" si="6"/>
        <v>-1810.0995659292746</v>
      </c>
      <c r="E58" s="4">
        <f t="shared" si="7"/>
        <v>-568.89344270659865</v>
      </c>
      <c r="F58" s="4">
        <f>SUM($D$20:D58)</f>
        <v>-56298.624149401374</v>
      </c>
      <c r="G58" s="4">
        <f>ПлатежиАннуитетФункции[[#This Row],[Баланс на начало периода]]+ПлатежиАннуитетФункции[[#This Row],[Тело кредита]]</f>
        <v>43701.375850598626</v>
      </c>
      <c r="H58" s="65">
        <f>PV($B$10,$B$11-ПлатежиАннуитетФункции[[#This Row],[Период (№месяца)]]+1,$C$15,$B$6,$B$12)/IF(ПлатежиАннуитетФункции[[#This Row],[Период (№месяца)]]=1,1,1+$B$12*$B$10)</f>
        <v>45511.47541652785</v>
      </c>
      <c r="I58" s="4">
        <f>-FV($B$10,ПлатежиАннуитетФункции[[#This Row],[Период (№месяца)]],$C$15,$B$5,$B$12)/(1+$B$12*$B$10)</f>
        <v>43701.375850598706</v>
      </c>
      <c r="K58" s="6">
        <v>39</v>
      </c>
      <c r="L58" s="67">
        <f t="shared" si="3"/>
        <v>-1810.0995659292753</v>
      </c>
      <c r="M58" s="67">
        <f t="shared" si="4"/>
        <v>-1810.0995659292735</v>
      </c>
      <c r="N58" s="67">
        <f>ПлатежиАннуитетФункции[[#This Row],[Тело кредита]]-M58</f>
        <v>0</v>
      </c>
      <c r="O5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59" spans="1:15" x14ac:dyDescent="0.25">
      <c r="A59" s="3">
        <f>IF(ROW()-ROW(ПлатежиАннуитетФункции[[#Headers],[Период (№месяца)]])&gt;$B$11,0,ROW()-ROW(ПлатежиАннуитетФункции[[#Headers],[Период (№месяца)]]))</f>
        <v>40</v>
      </c>
      <c r="B59" s="4">
        <f>$B$5+SUM($D$19:D58)</f>
        <v>43701.375850598626</v>
      </c>
      <c r="C59" s="4">
        <f t="shared" si="5"/>
        <v>-2378.9930086358731</v>
      </c>
      <c r="D59" s="4">
        <f t="shared" si="6"/>
        <v>-1832.7258105033904</v>
      </c>
      <c r="E59" s="4">
        <f t="shared" si="7"/>
        <v>-546.26719813248258</v>
      </c>
      <c r="F59" s="4">
        <f>SUM($D$20:D59)</f>
        <v>-58131.349959904765</v>
      </c>
      <c r="G59" s="4">
        <f>ПлатежиАннуитетФункции[[#This Row],[Баланс на начало периода]]+ПлатежиАннуитетФункции[[#This Row],[Тело кредита]]</f>
        <v>41868.650040095235</v>
      </c>
      <c r="H59" s="65">
        <f>PV($B$10,$B$11-ПлатежиАннуитетФункции[[#This Row],[Период (№месяца)]]+1,$C$15,$B$6,$B$12)/IF(ПлатежиАннуитетФункции[[#This Row],[Период (№месяца)]]=1,1,1+$B$12*$B$10)</f>
        <v>43701.375850598575</v>
      </c>
      <c r="I59" s="4">
        <f>-FV($B$10,ПлатежиАннуитетФункции[[#This Row],[Период (№месяца)]],$C$15,$B$5,$B$12)/(1+$B$12*$B$10)</f>
        <v>41868.650040095308</v>
      </c>
      <c r="K59" s="6">
        <v>40</v>
      </c>
      <c r="L59" s="67">
        <f t="shared" si="3"/>
        <v>-1832.7258105033911</v>
      </c>
      <c r="M59" s="67">
        <f t="shared" si="4"/>
        <v>-1832.7258105033891</v>
      </c>
      <c r="N59" s="67">
        <f>ПлатежиАннуитетФункции[[#This Row],[Тело кредита]]-M59</f>
        <v>0</v>
      </c>
      <c r="O5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-1.5916157281026244E-12</v>
      </c>
    </row>
    <row r="60" spans="1:15" x14ac:dyDescent="0.25">
      <c r="A60" s="3">
        <f>IF(ROW()-ROW(ПлатежиАннуитетФункции[[#Headers],[Период (№месяца)]])&gt;$B$11,0,ROW()-ROW(ПлатежиАннуитетФункции[[#Headers],[Период (№месяца)]]))</f>
        <v>41</v>
      </c>
      <c r="B60" s="4">
        <f>$B$5+SUM($D$19:D59)</f>
        <v>41868.650040095235</v>
      </c>
      <c r="C60" s="4">
        <f t="shared" si="5"/>
        <v>-2378.9930086358731</v>
      </c>
      <c r="D60" s="4">
        <f t="shared" si="6"/>
        <v>-1855.6348831346829</v>
      </c>
      <c r="E60" s="4">
        <f t="shared" si="7"/>
        <v>-523.35812550119022</v>
      </c>
      <c r="F60" s="4">
        <f>SUM($D$20:D60)</f>
        <v>-59986.984843039449</v>
      </c>
      <c r="G60" s="4">
        <f>ПлатежиАннуитетФункции[[#This Row],[Баланс на начало периода]]+ПлатежиАннуитетФункции[[#This Row],[Тело кредита]]</f>
        <v>40013.015156960551</v>
      </c>
      <c r="H60" s="65">
        <f>PV($B$10,$B$11-ПлатежиАннуитетФункции[[#This Row],[Период (№месяца)]]+1,$C$15,$B$6,$B$12)/IF(ПлатежиАннуитетФункции[[#This Row],[Период (№месяца)]]=1,1,1+$B$12*$B$10)</f>
        <v>41868.650040095199</v>
      </c>
      <c r="I60" s="4">
        <f>-FV($B$10,ПлатежиАннуитетФункции[[#This Row],[Период (№месяца)]],$C$15,$B$5,$B$12)/(1+$B$12*$B$10)</f>
        <v>40013.01515696061</v>
      </c>
      <c r="K60" s="6">
        <v>41</v>
      </c>
      <c r="L60" s="67">
        <f t="shared" si="3"/>
        <v>-1855.6348831346832</v>
      </c>
      <c r="M60" s="67">
        <f t="shared" si="4"/>
        <v>-1855.6348831346816</v>
      </c>
      <c r="N60" s="67">
        <f>ПлатежиАннуитетФункции[[#This Row],[Тело кредита]]-M60</f>
        <v>0</v>
      </c>
      <c r="O6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-1.2505552149377763E-12</v>
      </c>
    </row>
    <row r="61" spans="1:15" x14ac:dyDescent="0.25">
      <c r="A61" s="3">
        <f>IF(ROW()-ROW(ПлатежиАннуитетФункции[[#Headers],[Период (№месяца)]])&gt;$B$11,0,ROW()-ROW(ПлатежиАннуитетФункции[[#Headers],[Период (№месяца)]]))</f>
        <v>42</v>
      </c>
      <c r="B61" s="4">
        <f>$B$5+SUM($D$19:D60)</f>
        <v>40013.015156960551</v>
      </c>
      <c r="C61" s="4">
        <f t="shared" si="5"/>
        <v>-2378.9930086358731</v>
      </c>
      <c r="D61" s="4">
        <f t="shared" si="6"/>
        <v>-1878.8303191738664</v>
      </c>
      <c r="E61" s="4">
        <f t="shared" si="7"/>
        <v>-500.16268946200677</v>
      </c>
      <c r="F61" s="4">
        <f>SUM($D$20:D61)</f>
        <v>-61865.815162213315</v>
      </c>
      <c r="G61" s="4">
        <f>ПлатежиАннуитетФункции[[#This Row],[Баланс на начало периода]]+ПлатежиАннуитетФункции[[#This Row],[Тело кредита]]</f>
        <v>38134.184837786685</v>
      </c>
      <c r="H61" s="65">
        <f>PV($B$10,$B$11-ПлатежиАннуитетФункции[[#This Row],[Период (№месяца)]]+1,$C$15,$B$6,$B$12)/IF(ПлатежиАннуитетФункции[[#This Row],[Период (№месяца)]]=1,1,1+$B$12*$B$10)</f>
        <v>40013.015156960508</v>
      </c>
      <c r="I61" s="4">
        <f>-FV($B$10,ПлатежиАннуитетФункции[[#This Row],[Период (№месяца)]],$C$15,$B$5,$B$12)/(1+$B$12*$B$10)</f>
        <v>38134.184837786743</v>
      </c>
      <c r="K61" s="6">
        <v>42</v>
      </c>
      <c r="L61" s="67">
        <f t="shared" si="3"/>
        <v>-1878.8303191738669</v>
      </c>
      <c r="M61" s="67">
        <f t="shared" si="4"/>
        <v>-1878.8303191738653</v>
      </c>
      <c r="N61" s="67">
        <f>ПлатежиАннуитетФункции[[#This Row],[Тело кредита]]-M61</f>
        <v>0</v>
      </c>
      <c r="O6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-1.3073986337985843E-12</v>
      </c>
    </row>
    <row r="62" spans="1:15" x14ac:dyDescent="0.25">
      <c r="A62" s="3">
        <f>IF(ROW()-ROW(ПлатежиАннуитетФункции[[#Headers],[Период (№месяца)]])&gt;$B$11,0,ROW()-ROW(ПлатежиАннуитетФункции[[#Headers],[Период (№месяца)]]))</f>
        <v>43</v>
      </c>
      <c r="B62" s="4">
        <f>$B$5+SUM($D$19:D61)</f>
        <v>38134.184837786685</v>
      </c>
      <c r="C62" s="4">
        <f t="shared" si="5"/>
        <v>-2378.9930086358731</v>
      </c>
      <c r="D62" s="4">
        <f t="shared" si="6"/>
        <v>-1902.3156981635398</v>
      </c>
      <c r="E62" s="4">
        <f t="shared" si="7"/>
        <v>-476.67731047233343</v>
      </c>
      <c r="F62" s="4">
        <f>SUM($D$20:D62)</f>
        <v>-63768.130860376856</v>
      </c>
      <c r="G62" s="4">
        <f>ПлатежиАннуитетФункции[[#This Row],[Баланс на начало периода]]+ПлатежиАннуитетФункции[[#This Row],[Тело кредита]]</f>
        <v>36231.869139623144</v>
      </c>
      <c r="H62" s="65">
        <f>PV($B$10,$B$11-ПлатежиАннуитетФункции[[#This Row],[Период (№месяца)]]+1,$C$15,$B$6,$B$12)/IF(ПлатежиАннуитетФункции[[#This Row],[Период (№месяца)]]=1,1,1+$B$12*$B$10)</f>
        <v>38134.18483778667</v>
      </c>
      <c r="I62" s="4">
        <f>-FV($B$10,ПлатежиАннуитетФункции[[#This Row],[Период (№месяца)]],$C$15,$B$5,$B$12)/(1+$B$12*$B$10)</f>
        <v>36231.869139623246</v>
      </c>
      <c r="K62" s="6">
        <v>43</v>
      </c>
      <c r="L62" s="67">
        <f t="shared" si="3"/>
        <v>-1902.3156981635398</v>
      </c>
      <c r="M62" s="67">
        <f t="shared" si="4"/>
        <v>-1902.3156981635386</v>
      </c>
      <c r="N62" s="67">
        <f>ПлатежиАннуитетФункции[[#This Row],[Тело кредита]]-M62</f>
        <v>0</v>
      </c>
      <c r="O6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-9.6633812063373625E-13</v>
      </c>
    </row>
    <row r="63" spans="1:15" x14ac:dyDescent="0.25">
      <c r="A63" s="3">
        <f>IF(ROW()-ROW(ПлатежиАннуитетФункции[[#Headers],[Период (№месяца)]])&gt;$B$11,0,ROW()-ROW(ПлатежиАннуитетФункции[[#Headers],[Период (№месяца)]]))</f>
        <v>44</v>
      </c>
      <c r="B63" s="4">
        <f>$B$5+SUM($D$19:D62)</f>
        <v>36231.869139623144</v>
      </c>
      <c r="C63" s="4">
        <f t="shared" si="5"/>
        <v>-2378.9930086358731</v>
      </c>
      <c r="D63" s="4">
        <f t="shared" si="6"/>
        <v>-1926.0946443905837</v>
      </c>
      <c r="E63" s="4">
        <f t="shared" si="7"/>
        <v>-452.8983642452892</v>
      </c>
      <c r="F63" s="4">
        <f>SUM($D$20:D63)</f>
        <v>-65694.225504767441</v>
      </c>
      <c r="G63" s="4">
        <f>ПлатежиАннуитетФункции[[#This Row],[Баланс на начало периода]]+ПлатежиАннуитетФункции[[#This Row],[Тело кредита]]</f>
        <v>34305.774495232559</v>
      </c>
      <c r="H63" s="65">
        <f>PV($B$10,$B$11-ПлатежиАннуитетФункции[[#This Row],[Период (№месяца)]]+1,$C$15,$B$6,$B$12)/IF(ПлатежиАннуитетФункции[[#This Row],[Период (№месяца)]]=1,1,1+$B$12*$B$10)</f>
        <v>36231.869139623108</v>
      </c>
      <c r="I63" s="4">
        <f>-FV($B$10,ПлатежиАннуитетФункции[[#This Row],[Период (№месяца)]],$C$15,$B$5,$B$12)/(1+$B$12*$B$10)</f>
        <v>34305.774495232647</v>
      </c>
      <c r="K63" s="6">
        <v>44</v>
      </c>
      <c r="L63" s="67">
        <f t="shared" si="3"/>
        <v>-1926.0946443905843</v>
      </c>
      <c r="M63" s="67">
        <f t="shared" si="4"/>
        <v>-1926.0946443905825</v>
      </c>
      <c r="N63" s="67">
        <f>ПлатежиАннуитетФункции[[#This Row],[Тело кредита]]-M63</f>
        <v>0</v>
      </c>
      <c r="O6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-1.3642420526593924E-12</v>
      </c>
    </row>
    <row r="64" spans="1:15" x14ac:dyDescent="0.25">
      <c r="A64" s="3">
        <f>IF(ROW()-ROW(ПлатежиАннуитетФункции[[#Headers],[Период (№месяца)]])&gt;$B$11,0,ROW()-ROW(ПлатежиАннуитетФункции[[#Headers],[Период (№месяца)]]))</f>
        <v>45</v>
      </c>
      <c r="B64" s="4">
        <f>$B$5+SUM($D$19:D63)</f>
        <v>34305.774495232559</v>
      </c>
      <c r="C64" s="4">
        <f t="shared" si="5"/>
        <v>-2378.9930086358731</v>
      </c>
      <c r="D64" s="4">
        <f t="shared" si="6"/>
        <v>-1950.1708274454663</v>
      </c>
      <c r="E64" s="4">
        <f t="shared" si="7"/>
        <v>-428.82218119040698</v>
      </c>
      <c r="F64" s="4">
        <f>SUM($D$20:D64)</f>
        <v>-67644.396332212913</v>
      </c>
      <c r="G64" s="4">
        <f>ПлатежиАннуитетФункции[[#This Row],[Баланс на начало периода]]+ПлатежиАннуитетФункции[[#This Row],[Тело кредита]]</f>
        <v>32355.603667787094</v>
      </c>
      <c r="H64" s="65">
        <f>PV($B$10,$B$11-ПлатежиАннуитетФункции[[#This Row],[Период (№месяца)]]+1,$C$15,$B$6,$B$12)/IF(ПлатежиАннуитетФункции[[#This Row],[Период (№месяца)]]=1,1,1+$B$12*$B$10)</f>
        <v>34305.77449523253</v>
      </c>
      <c r="I64" s="4">
        <f>-FV($B$10,ПлатежиАннуитетФункции[[#This Row],[Период (№месяца)]],$C$15,$B$5,$B$12)/(1+$B$12*$B$10)</f>
        <v>32355.603667787189</v>
      </c>
      <c r="K64" s="6">
        <v>45</v>
      </c>
      <c r="L64" s="67">
        <f t="shared" si="3"/>
        <v>-1950.1708274454666</v>
      </c>
      <c r="M64" s="67">
        <f t="shared" si="4"/>
        <v>-1950.170827445465</v>
      </c>
      <c r="N64" s="67">
        <f>ПлатежиАннуитетФункции[[#This Row],[Тело кредита]]-M64</f>
        <v>0</v>
      </c>
      <c r="O6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-1.0231815394945443E-12</v>
      </c>
    </row>
    <row r="65" spans="1:15" x14ac:dyDescent="0.25">
      <c r="A65" s="3">
        <f>IF(ROW()-ROW(ПлатежиАннуитетФункции[[#Headers],[Период (№месяца)]])&gt;$B$11,0,ROW()-ROW(ПлатежиАннуитетФункции[[#Headers],[Период (№месяца)]]))</f>
        <v>46</v>
      </c>
      <c r="B65" s="4">
        <f>$B$5+SUM($D$19:D64)</f>
        <v>32355.603667787087</v>
      </c>
      <c r="C65" s="4">
        <f t="shared" si="5"/>
        <v>-2378.9930086358731</v>
      </c>
      <c r="D65" s="4">
        <f t="shared" si="6"/>
        <v>-1974.5479627885345</v>
      </c>
      <c r="E65" s="4">
        <f t="shared" si="7"/>
        <v>-404.44504584733858</v>
      </c>
      <c r="F65" s="4">
        <f>SUM($D$20:D65)</f>
        <v>-69618.944295001449</v>
      </c>
      <c r="G65" s="4">
        <f>ПлатежиАннуитетФункции[[#This Row],[Баланс на начало периода]]+ПлатежиАннуитетФункции[[#This Row],[Тело кредита]]</f>
        <v>30381.055704998551</v>
      </c>
      <c r="H65" s="65">
        <f>PV($B$10,$B$11-ПлатежиАннуитетФункции[[#This Row],[Период (№месяца)]]+1,$C$15,$B$6,$B$12)/IF(ПлатежиАннуитетФункции[[#This Row],[Период (№месяца)]]=1,1,1+$B$12*$B$10)</f>
        <v>32355.603667787032</v>
      </c>
      <c r="I65" s="4">
        <f>-FV($B$10,ПлатежиАннуитетФункции[[#This Row],[Период (№месяца)]],$C$15,$B$5,$B$12)/(1+$B$12*$B$10)</f>
        <v>30381.055704998638</v>
      </c>
      <c r="K65" s="6">
        <v>46</v>
      </c>
      <c r="L65" s="67">
        <f t="shared" si="3"/>
        <v>-1974.5479627885354</v>
      </c>
      <c r="M65" s="67">
        <f t="shared" si="4"/>
        <v>-1974.5479627885329</v>
      </c>
      <c r="N65" s="67">
        <f>ПлатежиАннуитетФункции[[#This Row],[Тело кредита]]-M65</f>
        <v>0</v>
      </c>
      <c r="O6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-1.7621459846850485E-12</v>
      </c>
    </row>
    <row r="66" spans="1:15" x14ac:dyDescent="0.25">
      <c r="A66" s="3">
        <f>IF(ROW()-ROW(ПлатежиАннуитетФункции[[#Headers],[Период (№месяца)]])&gt;$B$11,0,ROW()-ROW(ПлатежиАннуитетФункции[[#Headers],[Период (№месяца)]]))</f>
        <v>47</v>
      </c>
      <c r="B66" s="4">
        <f>$B$5+SUM($D$19:D65)</f>
        <v>30381.055704998551</v>
      </c>
      <c r="C66" s="4">
        <f t="shared" si="5"/>
        <v>-2378.9930086358731</v>
      </c>
      <c r="D66" s="4">
        <f t="shared" si="6"/>
        <v>-1999.2298123233913</v>
      </c>
      <c r="E66" s="4">
        <f t="shared" si="7"/>
        <v>-379.76319631248191</v>
      </c>
      <c r="F66" s="4">
        <f>SUM($D$20:D66)</f>
        <v>-71618.174107324841</v>
      </c>
      <c r="G66" s="4">
        <f>ПлатежиАннуитетФункции[[#This Row],[Баланс на начало периода]]+ПлатежиАннуитетФункции[[#This Row],[Тело кредита]]</f>
        <v>28381.825892675159</v>
      </c>
      <c r="H66" s="65">
        <f>PV($B$10,$B$11-ПлатежиАннуитетФункции[[#This Row],[Период (№месяца)]]+1,$C$15,$B$6,$B$12)/IF(ПлатежиАннуитетФункции[[#This Row],[Период (№месяца)]]=1,1,1+$B$12*$B$10)</f>
        <v>30381.055704998536</v>
      </c>
      <c r="I66" s="4">
        <f>-FV($B$10,ПлатежиАннуитетФункции[[#This Row],[Период (№месяца)]],$C$15,$B$5,$B$12)/(1+$B$12*$B$10)</f>
        <v>28381.82589267529</v>
      </c>
      <c r="K66" s="6">
        <v>47</v>
      </c>
      <c r="L66" s="67">
        <f t="shared" si="3"/>
        <v>-1999.2298123233916</v>
      </c>
      <c r="M66" s="67">
        <f t="shared" si="4"/>
        <v>-1999.22981232339</v>
      </c>
      <c r="N66" s="67">
        <f>ПлатежиАннуитетФункции[[#This Row],[Тело кредита]]-M66</f>
        <v>0</v>
      </c>
      <c r="O6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-1.3642420526593924E-12</v>
      </c>
    </row>
    <row r="67" spans="1:15" x14ac:dyDescent="0.25">
      <c r="A67" s="3">
        <f>IF(ROW()-ROW(ПлатежиАннуитетФункции[[#Headers],[Период (№месяца)]])&gt;$B$11,0,ROW()-ROW(ПлатежиАннуитетФункции[[#Headers],[Период (№месяца)]]))</f>
        <v>48</v>
      </c>
      <c r="B67" s="4">
        <f>$B$5+SUM($D$19:D66)</f>
        <v>28381.825892675159</v>
      </c>
      <c r="C67" s="4">
        <f t="shared" si="5"/>
        <v>-2378.9930086358731</v>
      </c>
      <c r="D67" s="4">
        <f t="shared" si="6"/>
        <v>-2024.2201849774335</v>
      </c>
      <c r="E67" s="4">
        <f t="shared" si="7"/>
        <v>-354.77282365843951</v>
      </c>
      <c r="F67" s="4">
        <f>SUM($D$20:D67)</f>
        <v>-73642.39429230227</v>
      </c>
      <c r="G67" s="4">
        <f>ПлатежиАннуитетФункции[[#This Row],[Баланс на начало периода]]+ПлатежиАннуитетФункции[[#This Row],[Тело кредита]]</f>
        <v>26357.605707697727</v>
      </c>
      <c r="H67" s="65">
        <f>PV($B$10,$B$11-ПлатежиАннуитетФункции[[#This Row],[Период (№месяца)]]+1,$C$15,$B$6,$B$12)/IF(ПлатежиАннуитетФункции[[#This Row],[Период (№месяца)]]=1,1,1+$B$12*$B$10)</f>
        <v>28381.825892675119</v>
      </c>
      <c r="I67" s="4">
        <f>-FV($B$10,ПлатежиАннуитетФункции[[#This Row],[Период (№месяца)]],$C$15,$B$5,$B$12)/(1+$B$12*$B$10)</f>
        <v>26357.605707697832</v>
      </c>
      <c r="K67" s="6">
        <v>48</v>
      </c>
      <c r="L67" s="67">
        <f t="shared" si="3"/>
        <v>-2024.2201849774342</v>
      </c>
      <c r="M67" s="67">
        <f t="shared" si="4"/>
        <v>-2024.2201849774317</v>
      </c>
      <c r="N67" s="67">
        <f>ПлатежиАннуитетФункции[[#This Row],[Тело кредита]]-M67</f>
        <v>-1.8189894035458565E-12</v>
      </c>
      <c r="O6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-1.5916157281026244E-12</v>
      </c>
    </row>
    <row r="68" spans="1:15" x14ac:dyDescent="0.25">
      <c r="A68" s="3">
        <f>IF(ROW()-ROW(ПлатежиАннуитетФункции[[#Headers],[Период (№месяца)]])&gt;$B$11,0,ROW()-ROW(ПлатежиАннуитетФункции[[#Headers],[Период (№месяца)]]))</f>
        <v>49</v>
      </c>
      <c r="B68" s="4">
        <f>$B$5+SUM($D$19:D67)</f>
        <v>26357.60570769773</v>
      </c>
      <c r="C68" s="4">
        <f t="shared" si="5"/>
        <v>-2378.9930086358731</v>
      </c>
      <c r="D68" s="4">
        <f t="shared" si="6"/>
        <v>-2049.5229372896515</v>
      </c>
      <c r="E68" s="4">
        <f t="shared" si="7"/>
        <v>-329.47007134622163</v>
      </c>
      <c r="F68" s="4">
        <f>SUM($D$20:D68)</f>
        <v>-75691.917229591927</v>
      </c>
      <c r="G68" s="4">
        <f>ПлатежиАннуитетФункции[[#This Row],[Баланс на начало периода]]+ПлатежиАннуитетФункции[[#This Row],[Тело кредита]]</f>
        <v>24308.08277040808</v>
      </c>
      <c r="H68" s="65">
        <f>PV($B$10,$B$11-ПлатежиАннуитетФункции[[#This Row],[Период (№месяца)]]+1,$C$15,$B$6,$B$12)/IF(ПлатежиАннуитетФункции[[#This Row],[Период (№месяца)]]=1,1,1+$B$12*$B$10)</f>
        <v>26357.605707697712</v>
      </c>
      <c r="I68" s="4">
        <f>-FV($B$10,ПлатежиАннуитетФункции[[#This Row],[Период (№месяца)]],$C$15,$B$5,$B$12)/(1+$B$12*$B$10)</f>
        <v>24308.082770408189</v>
      </c>
      <c r="K68" s="6">
        <v>49</v>
      </c>
      <c r="L68" s="67">
        <f t="shared" si="3"/>
        <v>-2049.5229372896515</v>
      </c>
      <c r="M68" s="67">
        <f t="shared" si="4"/>
        <v>-2049.5229372896501</v>
      </c>
      <c r="N68" s="67">
        <f>ПлатежиАннуитетФункции[[#This Row],[Тело кредита]]-M68</f>
        <v>0</v>
      </c>
      <c r="O6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-1.4210854715202004E-12</v>
      </c>
    </row>
    <row r="69" spans="1:15" x14ac:dyDescent="0.25">
      <c r="A69" s="3">
        <f>IF(ROW()-ROW(ПлатежиАннуитетФункции[[#Headers],[Период (№месяца)]])&gt;$B$11,0,ROW()-ROW(ПлатежиАннуитетФункции[[#Headers],[Период (№месяца)]]))</f>
        <v>50</v>
      </c>
      <c r="B69" s="4">
        <f>$B$5+SUM($D$19:D68)</f>
        <v>24308.082770408073</v>
      </c>
      <c r="C69" s="4">
        <f t="shared" si="5"/>
        <v>-2378.9930086358731</v>
      </c>
      <c r="D69" s="4">
        <f t="shared" si="6"/>
        <v>-2075.1419740057722</v>
      </c>
      <c r="E69" s="4">
        <f t="shared" si="7"/>
        <v>-303.85103463010097</v>
      </c>
      <c r="F69" s="4">
        <f>SUM($D$20:D69)</f>
        <v>-77767.059203597702</v>
      </c>
      <c r="G69" s="4">
        <f>ПлатежиАннуитетФункции[[#This Row],[Баланс на начало периода]]+ПлатежиАннуитетФункции[[#This Row],[Тело кредита]]</f>
        <v>22232.940796402301</v>
      </c>
      <c r="H69" s="65">
        <f>PV($B$10,$B$11-ПлатежиАннуитетФункции[[#This Row],[Период (№месяца)]]+1,$C$15,$B$6,$B$12)/IF(ПлатежиАннуитетФункции[[#This Row],[Период (№месяца)]]=1,1,1+$B$12*$B$10)</f>
        <v>24308.082770408033</v>
      </c>
      <c r="I69" s="4">
        <f>-FV($B$10,ПлатежиАннуитетФункции[[#This Row],[Период (№месяца)]],$C$15,$B$5,$B$12)/(1+$B$12*$B$10)</f>
        <v>22232.94079640237</v>
      </c>
      <c r="K69" s="6">
        <v>50</v>
      </c>
      <c r="L69" s="67">
        <f t="shared" si="3"/>
        <v>-2075.1419740057727</v>
      </c>
      <c r="M69" s="67">
        <f t="shared" si="4"/>
        <v>-2075.1419740057709</v>
      </c>
      <c r="N69" s="67">
        <f>ПлатежиАннуитетФункции[[#This Row],[Тело кредита]]-M69</f>
        <v>0</v>
      </c>
      <c r="O6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-1.7053025658242404E-12</v>
      </c>
    </row>
    <row r="70" spans="1:15" x14ac:dyDescent="0.25">
      <c r="A70" s="3">
        <f>IF(ROW()-ROW(ПлатежиАннуитетФункции[[#Headers],[Период (№месяца)]])&gt;$B$11,0,ROW()-ROW(ПлатежиАннуитетФункции[[#Headers],[Период (№месяца)]]))</f>
        <v>51</v>
      </c>
      <c r="B70" s="4">
        <f>$B$5+SUM($D$19:D69)</f>
        <v>22232.940796402298</v>
      </c>
      <c r="C70" s="4">
        <f t="shared" si="5"/>
        <v>-2378.9930086358731</v>
      </c>
      <c r="D70" s="4">
        <f t="shared" si="6"/>
        <v>-2101.0812486808445</v>
      </c>
      <c r="E70" s="4">
        <f t="shared" si="7"/>
        <v>-277.9117599550288</v>
      </c>
      <c r="F70" s="4">
        <f>SUM($D$20:D70)</f>
        <v>-79868.140452278545</v>
      </c>
      <c r="G70" s="4">
        <f>ПлатежиАннуитетФункции[[#This Row],[Баланс на начало периода]]+ПлатежиАннуитетФункции[[#This Row],[Тело кредита]]</f>
        <v>20131.859547721455</v>
      </c>
      <c r="H70" s="65">
        <f>PV($B$10,$B$11-ПлатежиАннуитетФункции[[#This Row],[Период (№месяца)]]+1,$C$15,$B$6,$B$12)/IF(ПлатежиАннуитетФункции[[#This Row],[Период (№месяца)]]=1,1,1+$B$12*$B$10)</f>
        <v>22232.940796402301</v>
      </c>
      <c r="I70" s="4">
        <f>-FV($B$10,ПлатежиАннуитетФункции[[#This Row],[Период (№месяца)]],$C$15,$B$5,$B$12)/(1+$B$12*$B$10)</f>
        <v>20131.859547721542</v>
      </c>
      <c r="K70" s="6">
        <v>51</v>
      </c>
      <c r="L70" s="67">
        <f t="shared" si="3"/>
        <v>-2101.0812486808441</v>
      </c>
      <c r="M70" s="67">
        <f t="shared" si="4"/>
        <v>-2101.0812486808431</v>
      </c>
      <c r="N70" s="67">
        <f>ПлатежиАннуитетФункции[[#This Row],[Тело кредита]]-M70</f>
        <v>0</v>
      </c>
      <c r="O70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-8.5265128291212022E-13</v>
      </c>
    </row>
    <row r="71" spans="1:15" x14ac:dyDescent="0.25">
      <c r="A71" s="3">
        <f>IF(ROW()-ROW(ПлатежиАннуитетФункции[[#Headers],[Период (№месяца)]])&gt;$B$11,0,ROW()-ROW(ПлатежиАннуитетФункции[[#Headers],[Период (№месяца)]]))</f>
        <v>52</v>
      </c>
      <c r="B71" s="4">
        <f>$B$5+SUM($D$19:D70)</f>
        <v>20131.859547721455</v>
      </c>
      <c r="C71" s="4">
        <f t="shared" si="5"/>
        <v>-2378.9930086358731</v>
      </c>
      <c r="D71" s="4">
        <f t="shared" si="6"/>
        <v>-2127.3447642893552</v>
      </c>
      <c r="E71" s="4">
        <f t="shared" si="7"/>
        <v>-251.64824434651825</v>
      </c>
      <c r="F71" s="4">
        <f>SUM($D$20:D71)</f>
        <v>-81995.485216567904</v>
      </c>
      <c r="G71" s="4">
        <f>ПлатежиАннуитетФункции[[#This Row],[Баланс на начало периода]]+ПлатежиАннуитетФункции[[#This Row],[Тело кредита]]</f>
        <v>18004.5147834321</v>
      </c>
      <c r="H71" s="65">
        <f>PV($B$10,$B$11-ПлатежиАннуитетФункции[[#This Row],[Период (№месяца)]]+1,$C$15,$B$6,$B$12)/IF(ПлатежиАннуитетФункции[[#This Row],[Период (№месяца)]]=1,1,1+$B$12*$B$10)</f>
        <v>20131.859547721437</v>
      </c>
      <c r="I71" s="4">
        <f>-FV($B$10,ПлатежиАннуитетФункции[[#This Row],[Период (№месяца)]],$C$15,$B$5,$B$12)/(1+$B$12*$B$10)</f>
        <v>18004.514783432212</v>
      </c>
      <c r="K71" s="6">
        <v>52</v>
      </c>
      <c r="L71" s="67">
        <f t="shared" si="3"/>
        <v>-2127.3447642893552</v>
      </c>
      <c r="M71" s="67">
        <f t="shared" si="4"/>
        <v>-2127.3447642893534</v>
      </c>
      <c r="N71" s="67">
        <f>ПлатежиАннуитетФункции[[#This Row],[Тело кредита]]-M71</f>
        <v>0</v>
      </c>
      <c r="O71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-1.7905676941154525E-12</v>
      </c>
    </row>
    <row r="72" spans="1:15" x14ac:dyDescent="0.25">
      <c r="A72" s="3">
        <f>IF(ROW()-ROW(ПлатежиАннуитетФункции[[#Headers],[Период (№месяца)]])&gt;$B$11,0,ROW()-ROW(ПлатежиАннуитетФункции[[#Headers],[Период (№месяца)]]))</f>
        <v>53</v>
      </c>
      <c r="B72" s="4">
        <f>$B$5+SUM($D$19:D71)</f>
        <v>18004.514783432096</v>
      </c>
      <c r="C72" s="4">
        <f t="shared" si="5"/>
        <v>-2378.9930086358731</v>
      </c>
      <c r="D72" s="4">
        <f t="shared" si="6"/>
        <v>-2153.9365738429719</v>
      </c>
      <c r="E72" s="4">
        <f t="shared" si="7"/>
        <v>-225.05643479290137</v>
      </c>
      <c r="F72" s="4">
        <f>SUM($D$20:D72)</f>
        <v>-84149.421790410881</v>
      </c>
      <c r="G72" s="4">
        <f>ПлатежиАннуитетФункции[[#This Row],[Баланс на начало периода]]+ПлатежиАннуитетФункции[[#This Row],[Тело кредита]]</f>
        <v>15850.578209589125</v>
      </c>
      <c r="H72" s="65">
        <f>PV($B$10,$B$11-ПлатежиАннуитетФункции[[#This Row],[Период (№месяца)]]+1,$C$15,$B$6,$B$12)/IF(ПлатежиАннуитетФункции[[#This Row],[Период (№месяца)]]=1,1,1+$B$12*$B$10)</f>
        <v>18004.514783432089</v>
      </c>
      <c r="I72" s="4">
        <f>-FV($B$10,ПлатежиАннуитетФункции[[#This Row],[Период (№месяца)]],$C$15,$B$5,$B$12)/(1+$B$12*$B$10)</f>
        <v>15850.578209589265</v>
      </c>
      <c r="K72" s="6">
        <v>53</v>
      </c>
      <c r="L72" s="67">
        <f t="shared" si="3"/>
        <v>-2153.9365738429719</v>
      </c>
      <c r="M72" s="67">
        <f t="shared" si="4"/>
        <v>-2153.9365738429701</v>
      </c>
      <c r="N72" s="67">
        <f>ПлатежиАннуитетФункции[[#This Row],[Тело кредита]]-M72</f>
        <v>0</v>
      </c>
      <c r="O72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-1.7053025658242404E-12</v>
      </c>
    </row>
    <row r="73" spans="1:15" x14ac:dyDescent="0.25">
      <c r="A73" s="3">
        <f>IF(ROW()-ROW(ПлатежиАннуитетФункции[[#Headers],[Период (№месяца)]])&gt;$B$11,0,ROW()-ROW(ПлатежиАннуитетФункции[[#Headers],[Период (№месяца)]]))</f>
        <v>54</v>
      </c>
      <c r="B73" s="4">
        <f>$B$5+SUM($D$19:D72)</f>
        <v>15850.578209589119</v>
      </c>
      <c r="C73" s="4">
        <f t="shared" si="5"/>
        <v>-2378.9930086358731</v>
      </c>
      <c r="D73" s="4">
        <f t="shared" si="6"/>
        <v>-2180.8607810160092</v>
      </c>
      <c r="E73" s="4">
        <f t="shared" si="7"/>
        <v>-198.13222761986421</v>
      </c>
      <c r="F73" s="4">
        <f>SUM($D$20:D73)</f>
        <v>-86330.282571426884</v>
      </c>
      <c r="G73" s="4">
        <f>ПлатежиАннуитетФункции[[#This Row],[Баланс на начало периода]]+ПлатежиАннуитетФункции[[#This Row],[Тело кредита]]</f>
        <v>13669.717428573109</v>
      </c>
      <c r="H73" s="65">
        <f>PV($B$10,$B$11-ПлатежиАннуитетФункции[[#This Row],[Период (№месяца)]]+1,$C$15,$B$6,$B$12)/IF(ПлатежиАннуитетФункции[[#This Row],[Период (№месяца)]]=1,1,1+$B$12*$B$10)</f>
        <v>15850.57820958909</v>
      </c>
      <c r="I73" s="4">
        <f>-FV($B$10,ПлатежиАннуитетФункции[[#This Row],[Период (№месяца)]],$C$15,$B$5,$B$12)/(1+$B$12*$B$10)</f>
        <v>13669.717428573262</v>
      </c>
      <c r="K73" s="6">
        <v>54</v>
      </c>
      <c r="L73" s="67">
        <f t="shared" si="3"/>
        <v>-2180.8607810160097</v>
      </c>
      <c r="M73" s="67">
        <f t="shared" si="4"/>
        <v>-2180.860781016007</v>
      </c>
      <c r="N73" s="67">
        <f>ПлатежиАннуитетФункции[[#This Row],[Тело кредита]]-M73</f>
        <v>0</v>
      </c>
      <c r="O73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-2.1316282072803006E-12</v>
      </c>
    </row>
    <row r="74" spans="1:15" x14ac:dyDescent="0.25">
      <c r="A74" s="3">
        <f>IF(ROW()-ROW(ПлатежиАннуитетФункции[[#Headers],[Период (№месяца)]])&gt;$B$11,0,ROW()-ROW(ПлатежиАннуитетФункции[[#Headers],[Период (№месяца)]]))</f>
        <v>55</v>
      </c>
      <c r="B74" s="4">
        <f>$B$5+SUM($D$19:D73)</f>
        <v>13669.717428573116</v>
      </c>
      <c r="C74" s="4">
        <f t="shared" si="5"/>
        <v>-2378.9930086358731</v>
      </c>
      <c r="D74" s="4">
        <f t="shared" si="6"/>
        <v>-2208.121540778709</v>
      </c>
      <c r="E74" s="4">
        <f t="shared" si="7"/>
        <v>-170.87146785716411</v>
      </c>
      <c r="F74" s="4">
        <f>SUM($D$20:D74)</f>
        <v>-88538.404112205593</v>
      </c>
      <c r="G74" s="4">
        <f>ПлатежиАннуитетФункции[[#This Row],[Баланс на начало периода]]+ПлатежиАннуитетФункции[[#This Row],[Тело кредита]]</f>
        <v>11461.595887794407</v>
      </c>
      <c r="H74" s="65">
        <f>PV($B$10,$B$11-ПлатежиАннуитетФункции[[#This Row],[Период (№месяца)]]+1,$C$15,$B$6,$B$12)/IF(ПлатежиАннуитетФункции[[#This Row],[Период (№месяца)]]=1,1,1+$B$12*$B$10)</f>
        <v>13669.717428573107</v>
      </c>
      <c r="I74" s="4">
        <f>-FV($B$10,ПлатежиАннуитетФункции[[#This Row],[Период (№месяца)]],$C$15,$B$5,$B$12)/(1+$B$12*$B$10)</f>
        <v>11461.595887794567</v>
      </c>
      <c r="K74" s="6">
        <v>55</v>
      </c>
      <c r="L74" s="67">
        <f t="shared" si="3"/>
        <v>-2208.1215407787095</v>
      </c>
      <c r="M74" s="67">
        <f t="shared" si="4"/>
        <v>-2208.1215407787072</v>
      </c>
      <c r="N74" s="67">
        <f>ПлатежиАннуитетФункции[[#This Row],[Тело кредита]]-M74</f>
        <v>0</v>
      </c>
      <c r="O74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-1.9326762412674725E-12</v>
      </c>
    </row>
    <row r="75" spans="1:15" x14ac:dyDescent="0.25">
      <c r="A75" s="3">
        <f>IF(ROW()-ROW(ПлатежиАннуитетФункции[[#Headers],[Период (№месяца)]])&gt;$B$11,0,ROW()-ROW(ПлатежиАннуитетФункции[[#Headers],[Период (№месяца)]]))</f>
        <v>56</v>
      </c>
      <c r="B75" s="4">
        <f>$B$5+SUM($D$19:D74)</f>
        <v>11461.595887794407</v>
      </c>
      <c r="C75" s="4">
        <f t="shared" si="5"/>
        <v>-2378.9930086358731</v>
      </c>
      <c r="D75" s="4">
        <f t="shared" si="6"/>
        <v>-2235.7230600384428</v>
      </c>
      <c r="E75" s="4">
        <f t="shared" si="7"/>
        <v>-143.26994859743021</v>
      </c>
      <c r="F75" s="4">
        <f>SUM($D$20:D75)</f>
        <v>-90774.127172244043</v>
      </c>
      <c r="G75" s="4">
        <f>ПлатежиАннуитетФункции[[#This Row],[Баланс на начало периода]]+ПлатежиАннуитетФункции[[#This Row],[Тело кредита]]</f>
        <v>9225.872827755964</v>
      </c>
      <c r="H75" s="65">
        <f>PV($B$10,$B$11-ПлатежиАннуитетФункции[[#This Row],[Период (№месяца)]]+1,$C$15,$B$6,$B$12)/IF(ПлатежиАннуитетФункции[[#This Row],[Период (№месяца)]]=1,1,1+$B$12*$B$10)</f>
        <v>11461.595887794387</v>
      </c>
      <c r="I75" s="4">
        <f>-FV($B$10,ПлатежиАннуитетФункции[[#This Row],[Период (№месяца)]],$C$15,$B$5,$B$12)/(1+$B$12*$B$10)</f>
        <v>9225.8728277561313</v>
      </c>
      <c r="K75" s="6">
        <v>56</v>
      </c>
      <c r="L75" s="67">
        <f t="shared" si="3"/>
        <v>-2235.7230600384432</v>
      </c>
      <c r="M75" s="67">
        <f t="shared" si="4"/>
        <v>-2235.723060038441</v>
      </c>
      <c r="N75" s="67">
        <f>ПлатежиАннуитетФункции[[#This Row],[Тело кредита]]-M75</f>
        <v>0</v>
      </c>
      <c r="O75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-2.1316282072803006E-12</v>
      </c>
    </row>
    <row r="76" spans="1:15" x14ac:dyDescent="0.25">
      <c r="A76" s="3">
        <f>IF(ROW()-ROW(ПлатежиАннуитетФункции[[#Headers],[Период (№месяца)]])&gt;$B$11,0,ROW()-ROW(ПлатежиАннуитетФункции[[#Headers],[Период (№месяца)]]))</f>
        <v>57</v>
      </c>
      <c r="B76" s="4">
        <f>$B$5+SUM($D$19:D75)</f>
        <v>9225.8728277559567</v>
      </c>
      <c r="C76" s="4">
        <f t="shared" si="5"/>
        <v>-2378.9930086358731</v>
      </c>
      <c r="D76" s="4">
        <f t="shared" si="6"/>
        <v>-2263.6695982889232</v>
      </c>
      <c r="E76" s="4">
        <f t="shared" si="7"/>
        <v>-115.3234103469497</v>
      </c>
      <c r="F76" s="4">
        <f>SUM($D$20:D76)</f>
        <v>-93037.796770532965</v>
      </c>
      <c r="G76" s="4">
        <f>ПлатежиАннуитетФункции[[#This Row],[Баланс на начало периода]]+ПлатежиАннуитетФункции[[#This Row],[Тело кредита]]</f>
        <v>6962.2032294670335</v>
      </c>
      <c r="H76" s="65">
        <f>PV($B$10,$B$11-ПлатежиАннуитетФункции[[#This Row],[Период (№месяца)]]+1,$C$15,$B$6,$B$12)/IF(ПлатежиАннуитетФункции[[#This Row],[Период (№месяца)]]=1,1,1+$B$12*$B$10)</f>
        <v>9225.8728277559694</v>
      </c>
      <c r="I76" s="4">
        <f>-FV($B$10,ПлатежиАннуитетФункции[[#This Row],[Период (№месяца)]],$C$15,$B$5,$B$12)/(1+$B$12*$B$10)</f>
        <v>6962.2032294672099</v>
      </c>
      <c r="K76" s="6">
        <v>57</v>
      </c>
      <c r="L76" s="67">
        <f t="shared" si="3"/>
        <v>-2263.6695982889237</v>
      </c>
      <c r="M76" s="67">
        <f t="shared" si="4"/>
        <v>-2263.6695982889214</v>
      </c>
      <c r="N76" s="67">
        <f>ПлатежиАннуитетФункции[[#This Row],[Тело кредита]]-M76</f>
        <v>0</v>
      </c>
      <c r="O76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-2.0463630789890885E-12</v>
      </c>
    </row>
    <row r="77" spans="1:15" x14ac:dyDescent="0.25">
      <c r="A77" s="3">
        <f>IF(ROW()-ROW(ПлатежиАннуитетФункции[[#Headers],[Период (№месяца)]])&gt;$B$11,0,ROW()-ROW(ПлатежиАннуитетФункции[[#Headers],[Период (№месяца)]]))</f>
        <v>58</v>
      </c>
      <c r="B77" s="4">
        <f>$B$5+SUM($D$19:D76)</f>
        <v>6962.2032294670353</v>
      </c>
      <c r="C77" s="4">
        <f t="shared" si="5"/>
        <v>-2378.9930086358731</v>
      </c>
      <c r="D77" s="4">
        <f t="shared" si="6"/>
        <v>-2291.965468267535</v>
      </c>
      <c r="E77" s="4">
        <f t="shared" si="7"/>
        <v>-87.027540368338165</v>
      </c>
      <c r="F77" s="4">
        <f>SUM($D$20:D77)</f>
        <v>-95329.762238800497</v>
      </c>
      <c r="G77" s="4">
        <f>ПлатежиАннуитетФункции[[#This Row],[Баланс на начало периода]]+ПлатежиАннуитетФункции[[#This Row],[Тело кредита]]</f>
        <v>4670.2377611994998</v>
      </c>
      <c r="H77" s="65">
        <f>PV($B$10,$B$11-ПлатежиАннуитетФункции[[#This Row],[Период (№месяца)]]+1,$C$15,$B$6,$B$12)/IF(ПлатежиАннуитетФункции[[#This Row],[Период (№месяца)]]=1,1,1+$B$12*$B$10)</f>
        <v>6962.2032294670271</v>
      </c>
      <c r="I77" s="4">
        <f>-FV($B$10,ПлатежиАннуитетФункции[[#This Row],[Период (№месяца)]],$C$15,$B$5,$B$12)/(1+$B$12*$B$10)</f>
        <v>4670.2377611996199</v>
      </c>
      <c r="K77" s="6">
        <v>58</v>
      </c>
      <c r="L77" s="67">
        <f t="shared" si="3"/>
        <v>-2291.965468267535</v>
      </c>
      <c r="M77" s="67">
        <f t="shared" si="4"/>
        <v>-2291.9654682675327</v>
      </c>
      <c r="N77" s="67">
        <f>ПлатежиАннуитетФункции[[#This Row],[Тело кредита]]-M77</f>
        <v>0</v>
      </c>
      <c r="O77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-1.9326762412674725E-12</v>
      </c>
    </row>
    <row r="78" spans="1:15" x14ac:dyDescent="0.25">
      <c r="A78" s="3">
        <f>IF(ROW()-ROW(ПлатежиАннуитетФункции[[#Headers],[Период (№месяца)]])&gt;$B$11,0,ROW()-ROW(ПлатежиАннуитетФункции[[#Headers],[Период (№месяца)]]))</f>
        <v>59</v>
      </c>
      <c r="B78" s="4">
        <f>$B$5+SUM($D$19:D77)</f>
        <v>4670.2377611995034</v>
      </c>
      <c r="C78" s="4">
        <f t="shared" si="5"/>
        <v>-2378.9930086358731</v>
      </c>
      <c r="D78" s="4">
        <f t="shared" si="6"/>
        <v>-2320.6150366208794</v>
      </c>
      <c r="E78" s="4">
        <f t="shared" si="7"/>
        <v>-58.377972014993979</v>
      </c>
      <c r="F78" s="4">
        <f>SUM($D$20:D78)</f>
        <v>-97650.377275421371</v>
      </c>
      <c r="G78" s="4">
        <f>ПлатежиАннуитетФункции[[#This Row],[Баланс на начало периода]]+ПлатежиАннуитетФункции[[#This Row],[Тело кредита]]</f>
        <v>2349.622724578624</v>
      </c>
      <c r="H78" s="65">
        <f>PV($B$10,$B$11-ПлатежиАннуитетФункции[[#This Row],[Период (№месяца)]]+1,$C$15,$B$6,$B$12)/IF(ПлатежиАннуитетФункции[[#This Row],[Период (№месяца)]]=1,1,1+$B$12*$B$10)</f>
        <v>4670.237761199518</v>
      </c>
      <c r="I78" s="4">
        <f>-FV($B$10,ПлатежиАннуитетФункции[[#This Row],[Период (№месяца)]],$C$15,$B$5,$B$12)/(1+$B$12*$B$10)</f>
        <v>2349.6227245787741</v>
      </c>
      <c r="K78" s="6">
        <v>59</v>
      </c>
      <c r="L78" s="67">
        <f t="shared" si="3"/>
        <v>-2320.6150366208794</v>
      </c>
      <c r="M78" s="67">
        <f t="shared" si="4"/>
        <v>-2320.6150366208776</v>
      </c>
      <c r="N78" s="67">
        <f>ПлатежиАннуитетФункции[[#This Row],[Тело кредита]]-M78</f>
        <v>0</v>
      </c>
      <c r="O78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-1.4495071809506044E-12</v>
      </c>
    </row>
    <row r="79" spans="1:15" x14ac:dyDescent="0.25">
      <c r="A79" s="3">
        <f>IF(ROW()-ROW(ПлатежиАннуитетФункции[[#Headers],[Период (№месяца)]])&gt;$B$11,0,ROW()-ROW(ПлатежиАннуитетФункции[[#Headers],[Период (№месяца)]]))</f>
        <v>60</v>
      </c>
      <c r="B79" s="4">
        <f>$B$5+SUM($D$19:D78)</f>
        <v>2349.6227245786285</v>
      </c>
      <c r="C79" s="4">
        <f t="shared" si="5"/>
        <v>-2378.9930086358731</v>
      </c>
      <c r="D79" s="4">
        <f t="shared" si="6"/>
        <v>-2349.6227245786404</v>
      </c>
      <c r="E79" s="4">
        <f t="shared" si="7"/>
        <v>-29.370284057232997</v>
      </c>
      <c r="F79" s="4">
        <f>SUM($D$20:D79)</f>
        <v>-100000.00000000001</v>
      </c>
      <c r="G79" s="4">
        <f>ПлатежиАннуитетФункции[[#This Row],[Баланс на начало периода]]+ПлатежиАннуитетФункции[[#This Row],[Тело кредита]]</f>
        <v>-1.1823431123048067E-11</v>
      </c>
      <c r="H79" s="65">
        <f>PV($B$10,$B$11-ПлатежиАннуитетФункции[[#This Row],[Период (№месяца)]]+1,$C$15,$B$6,$B$12)/IF(ПлатежиАннуитетФункции[[#This Row],[Период (№месяца)]]=1,1,1+$B$12*$B$10)</f>
        <v>2349.6227245786322</v>
      </c>
      <c r="I79" s="4">
        <f>-FV($B$10,ПлатежиАннуитетФункции[[#This Row],[Период (№месяца)]],$C$15,$B$5,$B$12)/(1+$B$12*$B$10)</f>
        <v>1.4551915228366852E-10</v>
      </c>
      <c r="K79" s="6">
        <v>60</v>
      </c>
      <c r="L79" s="67">
        <f t="shared" si="3"/>
        <v>-2349.6227245786404</v>
      </c>
      <c r="M79" s="67">
        <f t="shared" si="4"/>
        <v>-2349.6227245786376</v>
      </c>
      <c r="N79" s="67">
        <f>ПлатежиАннуитетФункции[[#This Row],[Тело кредита]]-M79</f>
        <v>0</v>
      </c>
      <c r="O79" s="6">
        <f>((1+$B$10)^(ПлатежиАннуитетФункции[[#This Row],[Период (№месяца)]]-1))*($C$15*((1+$B$10)^(1-ПлатежиАннуитетФункции[[#This Row],[Период (№месяца)]])-1)-($B$5*$B$10)/(1+$B$10*$B$12))-ПлатежиАннуитетФункции[[#This Row],[Процент]]</f>
        <v>-2.5188739982695552E-12</v>
      </c>
    </row>
    <row r="80" spans="1:15" x14ac:dyDescent="0.25">
      <c r="A80" t="s">
        <v>37</v>
      </c>
      <c r="C80" s="64">
        <f>SUBTOTAL(109,ПлатежиАннуитетФункции[Платеж])</f>
        <v>-142739.58051815259</v>
      </c>
      <c r="D80" s="64">
        <f>SUBTOTAL(109,ПлатежиАннуитетФункции[Тело кредита])</f>
        <v>-100000.00000000001</v>
      </c>
      <c r="E80" s="64">
        <f>SUBTOTAL(109,ПлатежиАннуитетФункции[Процент])</f>
        <v>-42739.580518152376</v>
      </c>
      <c r="F80" s="4"/>
      <c r="G80" s="4"/>
    </row>
    <row r="84" spans="1:4" x14ac:dyDescent="0.25">
      <c r="A84" s="1" t="s">
        <v>42</v>
      </c>
    </row>
    <row r="86" spans="1:4" ht="30" x14ac:dyDescent="0.25">
      <c r="A86" s="19" t="s">
        <v>40</v>
      </c>
      <c r="B86" s="19" t="s">
        <v>41</v>
      </c>
      <c r="C86" s="19" t="s">
        <v>39</v>
      </c>
      <c r="D86" s="19" t="s">
        <v>38</v>
      </c>
    </row>
    <row r="87" spans="1:4" x14ac:dyDescent="0.25">
      <c r="A87" s="6">
        <v>1</v>
      </c>
      <c r="B87" s="6">
        <v>1</v>
      </c>
      <c r="C87" s="10">
        <f>CUMPRINC($B$10,$B$11,$B$5,A87,B87,0)</f>
        <v>-1128.9930086358731</v>
      </c>
      <c r="D87" s="10">
        <f>CUMIPMT($B$10,$B$11,$B$5,A87,B87,0)</f>
        <v>-1250</v>
      </c>
    </row>
    <row r="88" spans="1:4" x14ac:dyDescent="0.25">
      <c r="A88" s="6">
        <v>1</v>
      </c>
      <c r="B88" s="6">
        <v>2</v>
      </c>
      <c r="C88" s="10">
        <f>CUMPRINC($B$10,$B$11,$B$5,A88,B88,0)</f>
        <v>-2272.0984298796952</v>
      </c>
      <c r="D88" s="10">
        <f>CUMIPMT($B$10,$B$11,$B$5,A88,B88,0)</f>
        <v>-2485.887587392051</v>
      </c>
    </row>
    <row r="89" spans="1:4" x14ac:dyDescent="0.25">
      <c r="A89" s="6">
        <v>1</v>
      </c>
      <c r="B89" s="6">
        <v>3</v>
      </c>
      <c r="C89" s="10">
        <f>CUMPRINC($B$10,$B$11,$B$5,A89,B89,0)</f>
        <v>-3429.492668889065</v>
      </c>
      <c r="D89" s="10">
        <f>CUMIPMT($B$10,$B$11,$B$5,A89,B89,0)</f>
        <v>-3707.4863570185548</v>
      </c>
    </row>
    <row r="90" spans="1:4" x14ac:dyDescent="0.25">
      <c r="A90" s="6">
        <v>5</v>
      </c>
      <c r="B90" s="6">
        <v>5</v>
      </c>
      <c r="C90" s="10">
        <f>CUMPRINC($B$10,$B$11,$B$5,A90,B90,0)</f>
        <v>-1186.5099378344489</v>
      </c>
      <c r="D90" s="10">
        <f>CUMIPMT($B$10,$B$11,$B$5,A90,B90,0)</f>
        <v>-1192.4830708014242</v>
      </c>
    </row>
    <row r="91" spans="1:4" x14ac:dyDescent="0.25">
      <c r="A91" s="6">
        <v>1</v>
      </c>
      <c r="B91" s="6">
        <v>60</v>
      </c>
      <c r="C91" s="10">
        <f>CUMPRINC($B$10,$B$11,$B$5,A91,B91,0)</f>
        <v>-99999.999999999985</v>
      </c>
      <c r="D91" s="10">
        <f>CUMIPMT($B$10,$B$11,$B$5,A91,B91,0)</f>
        <v>-42739.580518152405</v>
      </c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5" t="s">
        <v>124</v>
      </c>
      <c r="B1" s="75"/>
      <c r="C1" s="75"/>
      <c r="D1" s="75"/>
      <c r="E1" s="75"/>
      <c r="F1" s="75"/>
      <c r="G1" s="75"/>
    </row>
    <row r="2" spans="1:7" ht="107.25" customHeight="1" x14ac:dyDescent="0.25">
      <c r="A2" s="74" t="s">
        <v>125</v>
      </c>
    </row>
    <row r="3" spans="1:7" ht="105" customHeight="1" x14ac:dyDescent="0.25">
      <c r="A3" s="74" t="s">
        <v>126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75" t="s">
        <v>124</v>
      </c>
      <c r="B1" s="75"/>
      <c r="C1" s="75"/>
      <c r="D1" s="75"/>
      <c r="E1" s="75"/>
      <c r="F1" s="75"/>
      <c r="G1" s="75"/>
    </row>
    <row r="2" spans="1:7" ht="107.25" customHeight="1" x14ac:dyDescent="0.25">
      <c r="A2" s="74" t="s">
        <v>125</v>
      </c>
    </row>
    <row r="3" spans="1:7" ht="105" customHeight="1" x14ac:dyDescent="0.25">
      <c r="A3" s="74" t="s">
        <v>126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N76"/>
  <sheetViews>
    <sheetView workbookViewId="0">
      <selection sqref="A1:E3"/>
    </sheetView>
  </sheetViews>
  <sheetFormatPr defaultRowHeight="15" x14ac:dyDescent="0.25"/>
  <cols>
    <col min="1" max="1" width="15.7109375" customWidth="1"/>
    <col min="2" max="2" width="16.42578125" customWidth="1"/>
    <col min="3" max="3" width="15.7109375" customWidth="1"/>
    <col min="4" max="4" width="14.5703125" customWidth="1"/>
    <col min="5" max="5" width="11.7109375" bestFit="1" customWidth="1"/>
    <col min="6" max="6" width="16.85546875" customWidth="1"/>
    <col min="7" max="7" width="19.140625" customWidth="1"/>
    <col min="9" max="9" width="12.140625" customWidth="1"/>
    <col min="10" max="10" width="14.5703125" customWidth="1"/>
    <col min="11" max="11" width="18.28515625" customWidth="1"/>
    <col min="12" max="12" width="7.7109375" bestFit="1" customWidth="1"/>
    <col min="13" max="13" width="28.5703125" bestFit="1" customWidth="1"/>
  </cols>
  <sheetData>
    <row r="1" spans="1:11" ht="26.25" x14ac:dyDescent="0.25">
      <c r="A1" s="94" t="s">
        <v>127</v>
      </c>
      <c r="B1" s="94"/>
      <c r="C1" s="94"/>
      <c r="D1" s="94"/>
      <c r="E1" s="94"/>
    </row>
    <row r="2" spans="1:11" ht="15.75" x14ac:dyDescent="0.25">
      <c r="A2" s="97" t="s">
        <v>128</v>
      </c>
      <c r="B2" s="95"/>
      <c r="C2" s="95"/>
      <c r="D2" s="95"/>
      <c r="E2" s="95"/>
      <c r="F2" s="8"/>
    </row>
    <row r="3" spans="1:11" ht="18.75" x14ac:dyDescent="0.25">
      <c r="A3" s="96" t="s">
        <v>129</v>
      </c>
      <c r="B3" s="96"/>
      <c r="C3" s="96"/>
      <c r="D3" s="96"/>
      <c r="E3" s="96"/>
      <c r="F3" s="8"/>
    </row>
    <row r="4" spans="1:11" x14ac:dyDescent="0.25">
      <c r="A4" s="11" t="s">
        <v>22</v>
      </c>
      <c r="B4" s="11" t="s">
        <v>23</v>
      </c>
      <c r="C4" s="11" t="s">
        <v>24</v>
      </c>
      <c r="D4" s="11"/>
      <c r="E4" s="11" t="s">
        <v>25</v>
      </c>
      <c r="F4" s="8"/>
    </row>
    <row r="5" spans="1:11" x14ac:dyDescent="0.25">
      <c r="A5" s="6" t="s">
        <v>19</v>
      </c>
      <c r="B5" s="7">
        <v>0.15</v>
      </c>
      <c r="C5" s="6"/>
      <c r="D5" s="6"/>
      <c r="E5" s="6"/>
      <c r="F5" s="8"/>
    </row>
    <row r="6" spans="1:11" x14ac:dyDescent="0.25">
      <c r="A6" s="6" t="s">
        <v>20</v>
      </c>
      <c r="B6" s="46">
        <f>B5/12</f>
        <v>1.2499999999999999E-2</v>
      </c>
      <c r="C6" s="6" t="s">
        <v>18</v>
      </c>
      <c r="D6" s="6" t="s">
        <v>17</v>
      </c>
      <c r="E6" s="6" t="s">
        <v>16</v>
      </c>
      <c r="F6" s="8"/>
    </row>
    <row r="7" spans="1:11" x14ac:dyDescent="0.25">
      <c r="A7" s="6" t="s">
        <v>15</v>
      </c>
      <c r="B7" s="9">
        <v>60</v>
      </c>
      <c r="C7" s="6" t="s">
        <v>14</v>
      </c>
      <c r="D7" s="6" t="s">
        <v>13</v>
      </c>
      <c r="E7" s="6" t="s">
        <v>12</v>
      </c>
      <c r="F7" s="8"/>
    </row>
    <row r="8" spans="1:11" x14ac:dyDescent="0.25">
      <c r="A8" s="6" t="s">
        <v>89</v>
      </c>
      <c r="B8" s="16">
        <v>100000</v>
      </c>
      <c r="C8" s="6" t="s">
        <v>11</v>
      </c>
      <c r="D8" s="6" t="s">
        <v>10</v>
      </c>
      <c r="E8" s="6" t="s">
        <v>9</v>
      </c>
      <c r="F8" s="8"/>
    </row>
    <row r="9" spans="1:11" x14ac:dyDescent="0.25">
      <c r="A9" s="73" t="s">
        <v>121</v>
      </c>
      <c r="B9" s="12"/>
      <c r="C9" s="12"/>
      <c r="D9" s="12"/>
      <c r="E9" s="12"/>
      <c r="F9" s="8"/>
    </row>
    <row r="10" spans="1:11" x14ac:dyDescent="0.25">
      <c r="A10" s="12"/>
      <c r="B10" s="12"/>
      <c r="C10" s="14" t="s">
        <v>29</v>
      </c>
      <c r="D10" s="12"/>
      <c r="F10" s="8"/>
      <c r="I10" s="1" t="s">
        <v>92</v>
      </c>
    </row>
    <row r="11" spans="1:11" ht="17.25" x14ac:dyDescent="0.25">
      <c r="A11" s="1" t="s">
        <v>27</v>
      </c>
      <c r="C11" s="13">
        <f>-(B6/(1-(1+B6)^-B7))*B8</f>
        <v>-2378.993008635875</v>
      </c>
      <c r="D11" s="13">
        <f>(-B8*B6)/(1-(1+B6)^-B7)</f>
        <v>-2378.993008635875</v>
      </c>
      <c r="F11" s="8"/>
      <c r="I11" s="1" t="s">
        <v>80</v>
      </c>
    </row>
    <row r="12" spans="1:11" x14ac:dyDescent="0.25">
      <c r="A12" s="1"/>
      <c r="C12" s="12"/>
      <c r="D12" s="12"/>
      <c r="F12" s="8"/>
      <c r="I12" s="6" t="s">
        <v>78</v>
      </c>
      <c r="J12" s="49">
        <f>-$C$11/(1+$B$6)^($B$7+1)</f>
        <v>1115.0548233440743</v>
      </c>
    </row>
    <row r="13" spans="1:11" x14ac:dyDescent="0.25">
      <c r="A13" s="1" t="s">
        <v>45</v>
      </c>
      <c r="C13" s="15"/>
      <c r="D13" s="15"/>
      <c r="F13" s="8"/>
      <c r="I13" s="6" t="s">
        <v>79</v>
      </c>
      <c r="J13" s="50">
        <f>LN(1+$B$6)</f>
        <v>1.242251999855711E-2</v>
      </c>
    </row>
    <row r="14" spans="1:11" x14ac:dyDescent="0.25">
      <c r="A14" s="1"/>
    </row>
    <row r="15" spans="1:11" ht="30" x14ac:dyDescent="0.25">
      <c r="A15" s="17" t="s">
        <v>31</v>
      </c>
      <c r="B15" s="17" t="s">
        <v>33</v>
      </c>
      <c r="C15" s="18" t="s">
        <v>32</v>
      </c>
      <c r="D15" s="18" t="s">
        <v>34</v>
      </c>
      <c r="E15" s="18" t="s">
        <v>35</v>
      </c>
      <c r="F15" s="17" t="s">
        <v>46</v>
      </c>
      <c r="G15" s="17" t="s">
        <v>36</v>
      </c>
      <c r="I15" s="47" t="s">
        <v>34</v>
      </c>
      <c r="J15" s="48" t="s">
        <v>35</v>
      </c>
      <c r="K15" s="48" t="s">
        <v>122</v>
      </c>
    </row>
    <row r="16" spans="1:11" x14ac:dyDescent="0.25">
      <c r="A16" s="3">
        <f>IF(ROW()-ROW(ПлатежиАннуитет[[#Headers],[Период (№месяца)]])&gt;$B$7,0,ROW()-ROW(ПлатежиАннуитет[[#Headers],[Период (№месяца)]]))</f>
        <v>1</v>
      </c>
      <c r="B16" s="4">
        <f>$B$8+SUM($D$15:D15)</f>
        <v>100000</v>
      </c>
      <c r="C16" s="4">
        <f t="shared" ref="C16:C47" si="0">$C$11</f>
        <v>-2378.993008635875</v>
      </c>
      <c r="D16" s="4">
        <f>$C$11/(1+$B$6)^($B$7-ПлатежиАннуитет[[#This Row],[Период (№месяца)]]+1)</f>
        <v>-1128.993008635875</v>
      </c>
      <c r="E16" s="4">
        <f>-($C$11*((1+$B$6)^(ПлатежиАннуитет[[#This Row],[Период (№месяца)]]-1)-1)/$B$6+$B$8*(1+$B$6)^(ПлатежиАннуитет[[#This Row],[Период (№месяца)]]-1))*$B$6</f>
        <v>-1250</v>
      </c>
      <c r="F16" s="4">
        <f>SUM($D$16:D16)</f>
        <v>-1128.993008635875</v>
      </c>
      <c r="G16" s="4">
        <f>ПлатежиАннуитет[[#This Row],[Баланс на начало периода]]+ПлатежиАннуитет[[#This Row],[Тело кредита]]</f>
        <v>98871.00699136412</v>
      </c>
      <c r="H16" s="4"/>
      <c r="I16" s="10">
        <f>-$C$11/(1+$B$6)^($B$7+1)*EXP(LN(1+$B$6)*ПлатежиАннуитет[[#This Row],[Период (№месяца)]])</f>
        <v>1128.9930086358752</v>
      </c>
      <c r="J16" s="10">
        <f>-$C$11+$C$11*(1+$B$6)^(-$B$7-1)*EXP(LN(1+$B$6)*ПлатежиАннуитет[[#This Row],[Период (№месяца)]])</f>
        <v>1249.9999999999998</v>
      </c>
      <c r="K16" s="10">
        <f>-$C$11*(1-1/(1+$B$6)^($B$7-ПлатежиАннуитет[[#This Row],[Период (№месяца)]]+1))</f>
        <v>1250</v>
      </c>
    </row>
    <row r="17" spans="1:14" x14ac:dyDescent="0.25">
      <c r="A17" s="3">
        <f>IF(ROW()-ROW(ПлатежиАннуитет[[#Headers],[Период (№месяца)]])&gt;$B$7,0,ROW()-ROW(ПлатежиАннуитет[[#Headers],[Период (№месяца)]]))</f>
        <v>2</v>
      </c>
      <c r="B17" s="4">
        <f>$B$8+SUM($D$15:D16)</f>
        <v>98871.00699136412</v>
      </c>
      <c r="C17" s="4">
        <f t="shared" si="0"/>
        <v>-2378.993008635875</v>
      </c>
      <c r="D17" s="4">
        <f>$C$11/(1+$B$6)^($B$7-ПлатежиАннуитет[[#This Row],[Период (№месяца)]]+1)</f>
        <v>-1143.1054212438235</v>
      </c>
      <c r="E17" s="4">
        <f>-($C$11*((1+$B$6)^(ПлатежиАннуитет[[#This Row],[Период (№месяца)]]-1)-1)/$B$6+$B$8*(1+$B$6)^(ПлатежиАннуитет[[#This Row],[Период (№месяца)]]-1))*$B$6</f>
        <v>-1235.8875873920515</v>
      </c>
      <c r="F17" s="4">
        <f>SUM($D$16:D17)</f>
        <v>-2272.0984298796984</v>
      </c>
      <c r="G17" s="4">
        <f>ПлатежиАннуитет[[#This Row],[Баланс на начало периода]]+ПлатежиАннуитет[[#This Row],[Тело кредита]]</f>
        <v>97727.901570120302</v>
      </c>
      <c r="H17" s="4"/>
      <c r="I17" s="10">
        <f>-$C$11/(1+$B$6)^($B$7+1)*EXP(LN(1+$B$6)*ПлатежиАннуитет[[#This Row],[Период (№месяца)]])</f>
        <v>1143.1054212438237</v>
      </c>
      <c r="J17" s="10">
        <f>-$C$11+$C$11*(1+$B$6)^(-$B$7-1)*EXP(LN(1+$B$6)*ПлатежиАннуитет[[#This Row],[Период (№месяца)]])</f>
        <v>1235.8875873920513</v>
      </c>
      <c r="K17" s="10">
        <f>-$C$11*(1-1/(1+$B$6)^($B$7-ПлатежиАннуитет[[#This Row],[Период (№месяца)]]+1))</f>
        <v>1235.8875873920515</v>
      </c>
    </row>
    <row r="18" spans="1:14" x14ac:dyDescent="0.25">
      <c r="A18" s="3">
        <f>IF(ROW()-ROW(ПлатежиАннуитет[[#Headers],[Период (№месяца)]])&gt;$B$7,0,ROW()-ROW(ПлатежиАннуитет[[#Headers],[Период (№месяца)]]))</f>
        <v>3</v>
      </c>
      <c r="B18" s="4">
        <f>$B$8+SUM($D$15:D17)</f>
        <v>97727.901570120302</v>
      </c>
      <c r="C18" s="4">
        <f t="shared" si="0"/>
        <v>-2378.993008635875</v>
      </c>
      <c r="D18" s="4">
        <f>$C$11/(1+$B$6)^($B$7-ПлатежиАннуитет[[#This Row],[Период (№месяца)]]+1)</f>
        <v>-1157.3942390093709</v>
      </c>
      <c r="E18" s="4">
        <f>-($C$11*((1+$B$6)^(ПлатежиАннуитет[[#This Row],[Период (№месяца)]]-1)-1)/$B$6+$B$8*(1+$B$6)^(ПлатежиАннуитет[[#This Row],[Период (№месяца)]]-1))*$B$6</f>
        <v>-1221.5987696265038</v>
      </c>
      <c r="F18" s="4">
        <f>SUM($D$16:D18)</f>
        <v>-3429.4926688890691</v>
      </c>
      <c r="G18" s="4">
        <f>ПлатежиАннуитет[[#This Row],[Баланс на начало периода]]+ПлатежиАннуитет[[#This Row],[Тело кредита]]</f>
        <v>96570.50733111093</v>
      </c>
      <c r="H18" s="4"/>
      <c r="I18" s="10">
        <f>-$C$11/(1+$B$6)^($B$7+1)*EXP(LN(1+$B$6)*ПлатежиАннуитет[[#This Row],[Период (№месяца)]])</f>
        <v>1157.3942390093712</v>
      </c>
      <c r="J18" s="10">
        <f>-$C$11+$C$11*(1+$B$6)^(-$B$7-1)*EXP(LN(1+$B$6)*ПлатежиАннуитет[[#This Row],[Период (№месяца)]])</f>
        <v>1221.5987696265038</v>
      </c>
      <c r="K18" s="10">
        <f>-$C$11*(1-1/(1+$B$6)^($B$7-ПлатежиАннуитет[[#This Row],[Период (№месяца)]]+1))</f>
        <v>1221.598769626504</v>
      </c>
    </row>
    <row r="19" spans="1:14" x14ac:dyDescent="0.25">
      <c r="A19" s="3">
        <f>IF(ROW()-ROW(ПлатежиАннуитет[[#Headers],[Период (№месяца)]])&gt;$B$7,0,ROW()-ROW(ПлатежиАннуитет[[#Headers],[Период (№месяца)]]))</f>
        <v>4</v>
      </c>
      <c r="B19" s="4">
        <f>$B$8+SUM($D$15:D18)</f>
        <v>96570.50733111093</v>
      </c>
      <c r="C19" s="4">
        <f t="shared" si="0"/>
        <v>-2378.993008635875</v>
      </c>
      <c r="D19" s="4">
        <f>$C$11/(1+$B$6)^($B$7-ПлатежиАннуитет[[#This Row],[Период (№месяца)]]+1)</f>
        <v>-1171.8616669969883</v>
      </c>
      <c r="E19" s="4">
        <f>-($C$11*((1+$B$6)^(ПлатежиАннуитет[[#This Row],[Период (№месяца)]]-1)-1)/$B$6+$B$8*(1+$B$6)^(ПлатежиАннуитет[[#This Row],[Период (№месяца)]]-1))*$B$6</f>
        <v>-1207.1313416388866</v>
      </c>
      <c r="F19" s="4">
        <f>SUM($D$16:D19)</f>
        <v>-4601.354335886057</v>
      </c>
      <c r="G19" s="4">
        <f>ПлатежиАннуитет[[#This Row],[Баланс на начало периода]]+ПлатежиАннуитет[[#This Row],[Тело кредита]]</f>
        <v>95398.645664113938</v>
      </c>
      <c r="H19" s="4"/>
      <c r="I19" s="10">
        <f>-$C$11/(1+$B$6)^($B$7+1)*EXP(LN(1+$B$6)*ПлатежиАннуитет[[#This Row],[Период (№месяца)]])</f>
        <v>1171.8616669969883</v>
      </c>
      <c r="J19" s="10">
        <f>-$C$11+$C$11*(1+$B$6)^(-$B$7-1)*EXP(LN(1+$B$6)*ПлатежиАннуитет[[#This Row],[Период (№месяца)]])</f>
        <v>1207.1313416388866</v>
      </c>
      <c r="K19" s="10">
        <f>-$C$11*(1-1/(1+$B$6)^($B$7-ПлатежиАннуитет[[#This Row],[Период (№месяца)]]+1))</f>
        <v>1207.1313416388866</v>
      </c>
    </row>
    <row r="20" spans="1:14" x14ac:dyDescent="0.25">
      <c r="A20" s="3">
        <f>IF(ROW()-ROW(ПлатежиАннуитет[[#Headers],[Период (№месяца)]])&gt;$B$7,0,ROW()-ROW(ПлатежиАннуитет[[#Headers],[Период (№месяца)]]))</f>
        <v>5</v>
      </c>
      <c r="B20" s="4">
        <f>$B$8+SUM($D$15:D19)</f>
        <v>95398.645664113938</v>
      </c>
      <c r="C20" s="4">
        <f t="shared" si="0"/>
        <v>-2378.993008635875</v>
      </c>
      <c r="D20" s="4">
        <f>$C$11/(1+$B$6)^($B$7-ПлатежиАннуитет[[#This Row],[Период (№месяца)]]+1)</f>
        <v>-1186.5099378344507</v>
      </c>
      <c r="E20" s="4">
        <f>-($C$11*((1+$B$6)^(ПлатежиАннуитет[[#This Row],[Период (№месяца)]]-1)-1)/$B$6+$B$8*(1+$B$6)^(ПлатежиАннуитет[[#This Row],[Период (№месяца)]]-1))*$B$6</f>
        <v>-1192.4830708014242</v>
      </c>
      <c r="F20" s="4">
        <f>SUM($D$16:D20)</f>
        <v>-5787.8642737205082</v>
      </c>
      <c r="G20" s="4">
        <f>ПлатежиАннуитет[[#This Row],[Баланс на начало периода]]+ПлатежиАннуитет[[#This Row],[Тело кредита]]</f>
        <v>94212.135726279492</v>
      </c>
      <c r="H20" s="4"/>
      <c r="I20" s="10">
        <f>-$C$11/(1+$B$6)^($B$7+1)*EXP(LN(1+$B$6)*ПлатежиАннуитет[[#This Row],[Период (№месяца)]])</f>
        <v>1186.5099378344507</v>
      </c>
      <c r="J20" s="10">
        <f>-$C$11+$C$11*(1+$B$6)^(-$B$7-1)*EXP(LN(1+$B$6)*ПлатежиАннуитет[[#This Row],[Период (№месяца)]])</f>
        <v>1192.4830708014242</v>
      </c>
      <c r="K20" s="10">
        <f>-$C$11*(1-1/(1+$B$6)^($B$7-ПлатежиАннуитет[[#This Row],[Период (№месяца)]]+1))</f>
        <v>1192.4830708014242</v>
      </c>
    </row>
    <row r="21" spans="1:14" x14ac:dyDescent="0.25">
      <c r="A21" s="3">
        <f>IF(ROW()-ROW(ПлатежиАннуитет[[#Headers],[Период (№месяца)]])&gt;$B$7,0,ROW()-ROW(ПлатежиАннуитет[[#Headers],[Период (№месяца)]]))</f>
        <v>6</v>
      </c>
      <c r="B21" s="4">
        <f>$B$8+SUM($D$15:D20)</f>
        <v>94212.135726279492</v>
      </c>
      <c r="C21" s="4">
        <f t="shared" si="0"/>
        <v>-2378.993008635875</v>
      </c>
      <c r="D21" s="4">
        <f>$C$11/(1+$B$6)^($B$7-ПлатежиАннуитет[[#This Row],[Период (№месяца)]]+1)</f>
        <v>-1201.3413120573814</v>
      </c>
      <c r="E21" s="4">
        <f>-($C$11*((1+$B$6)^(ПлатежиАннуитет[[#This Row],[Период (№месяца)]]-1)-1)/$B$6+$B$8*(1+$B$6)^(ПлатежиАннуитет[[#This Row],[Период (№месяца)]]-1))*$B$6</f>
        <v>-1177.651696578494</v>
      </c>
      <c r="F21" s="4">
        <f>SUM($D$16:D21)</f>
        <v>-6989.2055857778896</v>
      </c>
      <c r="G21" s="4">
        <f>ПлатежиАннуитет[[#This Row],[Баланс на начало периода]]+ПлатежиАннуитет[[#This Row],[Тело кредита]]</f>
        <v>93010.794414222109</v>
      </c>
      <c r="H21" s="4"/>
      <c r="I21" s="10">
        <f>-$C$11/(1+$B$6)^($B$7+1)*EXP(LN(1+$B$6)*ПлатежиАннуитет[[#This Row],[Период (№месяца)]])</f>
        <v>1201.3413120573812</v>
      </c>
      <c r="J21" s="10">
        <f>-$C$11+$C$11*(1+$B$6)^(-$B$7-1)*EXP(LN(1+$B$6)*ПлатежиАннуитет[[#This Row],[Период (№месяца)]])</f>
        <v>1177.6516965784938</v>
      </c>
      <c r="K21" s="10">
        <f>-$C$11*(1-1/(1+$B$6)^($B$7-ПлатежиАннуитет[[#This Row],[Период (№месяца)]]+1))</f>
        <v>1177.6516965784936</v>
      </c>
      <c r="N21" s="5"/>
    </row>
    <row r="22" spans="1:14" x14ac:dyDescent="0.25">
      <c r="A22" s="3">
        <f>IF(ROW()-ROW(ПлатежиАннуитет[[#Headers],[Период (№месяца)]])&gt;$B$7,0,ROW()-ROW(ПлатежиАннуитет[[#Headers],[Период (№месяца)]]))</f>
        <v>7</v>
      </c>
      <c r="B22" s="4">
        <f>$B$8+SUM($D$15:D21)</f>
        <v>93010.794414222109</v>
      </c>
      <c r="C22" s="4">
        <f t="shared" si="0"/>
        <v>-2378.993008635875</v>
      </c>
      <c r="D22" s="4">
        <f>$C$11/(1+$B$6)^($B$7-ПлатежиАннуитет[[#This Row],[Период (№месяца)]]+1)</f>
        <v>-1216.3580784580986</v>
      </c>
      <c r="E22" s="4">
        <f>-($C$11*((1+$B$6)^(ПлатежиАннуитет[[#This Row],[Период (№месяца)]]-1)-1)/$B$6+$B$8*(1+$B$6)^(ПлатежиАннуитет[[#This Row],[Период (№месяца)]]-1))*$B$6</f>
        <v>-1162.6349301777764</v>
      </c>
      <c r="F22" s="4">
        <f>SUM($D$16:D22)</f>
        <v>-8205.5636642359877</v>
      </c>
      <c r="G22" s="4">
        <f>ПлатежиАннуитет[[#This Row],[Баланс на начало периода]]+ПлатежиАннуитет[[#This Row],[Тело кредита]]</f>
        <v>91794.43633576401</v>
      </c>
      <c r="H22" s="4"/>
      <c r="I22" s="10">
        <f>-$C$11/(1+$B$6)^($B$7+1)*EXP(LN(1+$B$6)*ПлатежиАннуитет[[#This Row],[Период (№месяца)]])</f>
        <v>1216.3580784580986</v>
      </c>
      <c r="J22" s="10">
        <f>-$C$11+$C$11*(1+$B$6)^(-$B$7-1)*EXP(LN(1+$B$6)*ПлатежиАннуитет[[#This Row],[Период (№месяца)]])</f>
        <v>1162.6349301777764</v>
      </c>
      <c r="K22" s="10">
        <f>-$C$11*(1-1/(1+$B$6)^($B$7-ПлатежиАннуитет[[#This Row],[Период (№месяца)]]+1))</f>
        <v>1162.6349301777764</v>
      </c>
    </row>
    <row r="23" spans="1:14" x14ac:dyDescent="0.25">
      <c r="A23" s="3">
        <f>IF(ROW()-ROW(ПлатежиАннуитет[[#Headers],[Период (№месяца)]])&gt;$B$7,0,ROW()-ROW(ПлатежиАннуитет[[#Headers],[Период (№месяца)]]))</f>
        <v>8</v>
      </c>
      <c r="B23" s="4">
        <f>$B$8+SUM($D$15:D22)</f>
        <v>91794.43633576401</v>
      </c>
      <c r="C23" s="4">
        <f t="shared" si="0"/>
        <v>-2378.993008635875</v>
      </c>
      <c r="D23" s="4">
        <f>$C$11/(1+$B$6)^($B$7-ПлатежиАннуитет[[#This Row],[Период (№месяца)]]+1)</f>
        <v>-1231.5625544388247</v>
      </c>
      <c r="E23" s="4">
        <f>-($C$11*((1+$B$6)^(ПлатежиАннуитет[[#This Row],[Период (№месяца)]]-1)-1)/$B$6+$B$8*(1+$B$6)^(ПлатежиАннуитет[[#This Row],[Период (№месяца)]]-1))*$B$6</f>
        <v>-1147.4304541970505</v>
      </c>
      <c r="F23" s="4">
        <f>SUM($D$16:D23)</f>
        <v>-9437.1262186748118</v>
      </c>
      <c r="G23" s="4">
        <f>ПлатежиАннуитет[[#This Row],[Баланс на начало периода]]+ПлатежиАннуитет[[#This Row],[Тело кредита]]</f>
        <v>90562.873781325179</v>
      </c>
      <c r="H23" s="4"/>
      <c r="I23" s="10">
        <f>-$C$11/(1+$B$6)^($B$7+1)*EXP(LN(1+$B$6)*ПлатежиАннуитет[[#This Row],[Период (№месяца)]])</f>
        <v>1231.5625544388247</v>
      </c>
      <c r="J23" s="10">
        <f>-$C$11+$C$11*(1+$B$6)^(-$B$7-1)*EXP(LN(1+$B$6)*ПлатежиАннуитет[[#This Row],[Период (№месяца)]])</f>
        <v>1147.4304541970503</v>
      </c>
      <c r="K23" s="10">
        <f>-$C$11*(1-1/(1+$B$6)^($B$7-ПлатежиАннуитет[[#This Row],[Период (№месяца)]]+1))</f>
        <v>1147.43045419705</v>
      </c>
    </row>
    <row r="24" spans="1:14" x14ac:dyDescent="0.25">
      <c r="A24" s="3">
        <f>IF(ROW()-ROW(ПлатежиАннуитет[[#Headers],[Период (№месяца)]])&gt;$B$7,0,ROW()-ROW(ПлатежиАннуитет[[#Headers],[Период (№месяца)]]))</f>
        <v>9</v>
      </c>
      <c r="B24" s="4">
        <f>$B$8+SUM($D$15:D23)</f>
        <v>90562.873781325194</v>
      </c>
      <c r="C24" s="4">
        <f t="shared" si="0"/>
        <v>-2378.993008635875</v>
      </c>
      <c r="D24" s="4">
        <f>$C$11/(1+$B$6)^($B$7-ПлатежиАннуитет[[#This Row],[Период (№месяца)]]+1)</f>
        <v>-1246.95708636931</v>
      </c>
      <c r="E24" s="4">
        <f>-($C$11*((1+$B$6)^(ПлатежиАннуитет[[#This Row],[Период (№месяца)]]-1)-1)/$B$6+$B$8*(1+$B$6)^(ПлатежиАннуитет[[#This Row],[Период (№месяца)]]-1))*$B$6</f>
        <v>-1132.0359222665647</v>
      </c>
      <c r="F24" s="4">
        <f>SUM($D$16:D24)</f>
        <v>-10684.083305044122</v>
      </c>
      <c r="G24" s="4">
        <f>ПлатежиАннуитет[[#This Row],[Баланс на начало периода]]+ПлатежиАннуитет[[#This Row],[Тело кредита]]</f>
        <v>89315.916694955886</v>
      </c>
      <c r="H24" s="4"/>
      <c r="I24" s="10">
        <f>-$C$11/(1+$B$6)^($B$7+1)*EXP(LN(1+$B$6)*ПлатежиАннуитет[[#This Row],[Период (№месяца)]])</f>
        <v>1246.95708636931</v>
      </c>
      <c r="J24" s="10">
        <f>-$C$11+$C$11*(1+$B$6)^(-$B$7-1)*EXP(LN(1+$B$6)*ПлатежиАннуитет[[#This Row],[Период (№месяца)]])</f>
        <v>1132.035922266565</v>
      </c>
      <c r="K24" s="10">
        <f>-$C$11*(1-1/(1+$B$6)^($B$7-ПлатежиАннуитет[[#This Row],[Период (№месяца)]]+1))</f>
        <v>1132.035922266565</v>
      </c>
    </row>
    <row r="25" spans="1:14" x14ac:dyDescent="0.25">
      <c r="A25" s="3">
        <f>IF(ROW()-ROW(ПлатежиАннуитет[[#Headers],[Период (№месяца)]])&gt;$B$7,0,ROW()-ROW(ПлатежиАннуитет[[#Headers],[Период (№месяца)]]))</f>
        <v>10</v>
      </c>
      <c r="B25" s="4">
        <f>$B$8+SUM($D$15:D24)</f>
        <v>89315.916694955871</v>
      </c>
      <c r="C25" s="4">
        <f t="shared" si="0"/>
        <v>-2378.993008635875</v>
      </c>
      <c r="D25" s="4">
        <f>$C$11/(1+$B$6)^($B$7-ПлатежиАннуитет[[#This Row],[Период (№месяца)]]+1)</f>
        <v>-1262.5440499489264</v>
      </c>
      <c r="E25" s="4">
        <f>-($C$11*((1+$B$6)^(ПлатежиАннуитет[[#This Row],[Период (№месяца)]]-1)-1)/$B$6+$B$8*(1+$B$6)^(ПлатежиАннуитет[[#This Row],[Период (№месяца)]]-1))*$B$6</f>
        <v>-1116.4489586869486</v>
      </c>
      <c r="F25" s="4">
        <f>SUM($D$16:D25)</f>
        <v>-11946.627354993048</v>
      </c>
      <c r="G25" s="4">
        <f>ПлатежиАннуитет[[#This Row],[Баланс на начало периода]]+ПлатежиАннуитет[[#This Row],[Тело кредита]]</f>
        <v>88053.372645006952</v>
      </c>
      <c r="H25" s="4"/>
      <c r="I25" s="10">
        <f>-$C$11/(1+$B$6)^($B$7+1)*EXP(LN(1+$B$6)*ПлатежиАннуитет[[#This Row],[Период (№месяца)]])</f>
        <v>1262.5440499489262</v>
      </c>
      <c r="J25" s="10">
        <f>-$C$11+$C$11*(1+$B$6)^(-$B$7-1)*EXP(LN(1+$B$6)*ПлатежиАннуитет[[#This Row],[Период (№месяца)]])</f>
        <v>1116.4489586869488</v>
      </c>
      <c r="K25" s="10">
        <f>-$C$11*(1-1/(1+$B$6)^($B$7-ПлатежиАннуитет[[#This Row],[Период (№месяца)]]+1))</f>
        <v>1116.4489586869486</v>
      </c>
    </row>
    <row r="26" spans="1:14" x14ac:dyDescent="0.25">
      <c r="A26" s="3">
        <f>IF(ROW()-ROW(ПлатежиАннуитет[[#Headers],[Период (№месяца)]])&gt;$B$7,0,ROW()-ROW(ПлатежиАннуитет[[#Headers],[Период (№месяца)]]))</f>
        <v>11</v>
      </c>
      <c r="B26" s="4">
        <f>$B$8+SUM($D$15:D25)</f>
        <v>88053.372645006952</v>
      </c>
      <c r="C26" s="4">
        <f t="shared" si="0"/>
        <v>-2378.993008635875</v>
      </c>
      <c r="D26" s="4">
        <f>$C$11/(1+$B$6)^($B$7-ПлатежиАннуитет[[#This Row],[Период (№месяца)]]+1)</f>
        <v>-1278.3258505732877</v>
      </c>
      <c r="E26" s="4">
        <f>-($C$11*((1+$B$6)^(ПлатежиАннуитет[[#This Row],[Период (№месяца)]]-1)-1)/$B$6+$B$8*(1+$B$6)^(ПлатежиАннуитет[[#This Row],[Период (№месяца)]]-1))*$B$6</f>
        <v>-1100.6671580625869</v>
      </c>
      <c r="F26" s="4">
        <f>SUM($D$16:D26)</f>
        <v>-13224.953205566337</v>
      </c>
      <c r="G26" s="4">
        <f>ПлатежиАннуитет[[#This Row],[Баланс на начало периода]]+ПлатежиАннуитет[[#This Row],[Тело кредита]]</f>
        <v>86775.046794433671</v>
      </c>
      <c r="H26" s="4"/>
      <c r="I26" s="10">
        <f>-$C$11/(1+$B$6)^($B$7+1)*EXP(LN(1+$B$6)*ПлатежиАннуитет[[#This Row],[Период (№месяца)]])</f>
        <v>1278.3258505732877</v>
      </c>
      <c r="J26" s="10">
        <f>-$C$11+$C$11*(1+$B$6)^(-$B$7-1)*EXP(LN(1+$B$6)*ПлатежиАннуитет[[#This Row],[Период (№месяца)]])</f>
        <v>1100.6671580625873</v>
      </c>
      <c r="K26" s="10">
        <f>-$C$11*(1-1/(1+$B$6)^($B$7-ПлатежиАннуитет[[#This Row],[Период (№месяца)]]+1))</f>
        <v>1100.6671580625873</v>
      </c>
    </row>
    <row r="27" spans="1:14" x14ac:dyDescent="0.25">
      <c r="A27" s="3">
        <f>IF(ROW()-ROW(ПлатежиАннуитет[[#Headers],[Период (№месяца)]])&gt;$B$7,0,ROW()-ROW(ПлатежиАннуитет[[#Headers],[Период (№месяца)]]))</f>
        <v>12</v>
      </c>
      <c r="B27" s="4">
        <f>$B$8+SUM($D$15:D26)</f>
        <v>86775.046794433671</v>
      </c>
      <c r="C27" s="4">
        <f t="shared" si="0"/>
        <v>-2378.993008635875</v>
      </c>
      <c r="D27" s="4">
        <f>$C$11/(1+$B$6)^($B$7-ПлатежиАннуитет[[#This Row],[Период (№месяца)]]+1)</f>
        <v>-1294.304923705454</v>
      </c>
      <c r="E27" s="4">
        <f>-($C$11*((1+$B$6)^(ПлатежиАннуитет[[#This Row],[Период (№месяца)]]-1)-1)/$B$6+$B$8*(1+$B$6)^(ПлатежиАннуитет[[#This Row],[Период (№месяца)]]-1))*$B$6</f>
        <v>-1084.6880849304209</v>
      </c>
      <c r="F27" s="4">
        <f>SUM($D$16:D27)</f>
        <v>-14519.258129271791</v>
      </c>
      <c r="G27" s="4">
        <f>ПлатежиАннуитет[[#This Row],[Баланс на начало периода]]+ПлатежиАннуитет[[#This Row],[Тело кредита]]</f>
        <v>85480.74187072822</v>
      </c>
      <c r="H27" s="4"/>
      <c r="I27" s="10">
        <f>-$C$11/(1+$B$6)^($B$7+1)*EXP(LN(1+$B$6)*ПлатежиАннуитет[[#This Row],[Период (№месяца)]])</f>
        <v>1294.3049237054538</v>
      </c>
      <c r="J27" s="10">
        <f>-$C$11+$C$11*(1+$B$6)^(-$B$7-1)*EXP(LN(1+$B$6)*ПлатежиАннуитет[[#This Row],[Период (№месяца)]])</f>
        <v>1084.6880849304212</v>
      </c>
      <c r="K27" s="10">
        <f>-$C$11*(1-1/(1+$B$6)^($B$7-ПлатежиАннуитет[[#This Row],[Период (№месяца)]]+1))</f>
        <v>1084.6880849304209</v>
      </c>
    </row>
    <row r="28" spans="1:14" x14ac:dyDescent="0.25">
      <c r="A28" s="3">
        <f>IF(ROW()-ROW(ПлатежиАннуитет[[#Headers],[Период (№месяца)]])&gt;$B$7,0,ROW()-ROW(ПлатежиАннуитет[[#Headers],[Период (№месяца)]]))</f>
        <v>13</v>
      </c>
      <c r="B28" s="4">
        <f>$B$8+SUM($D$15:D27)</f>
        <v>85480.741870728205</v>
      </c>
      <c r="C28" s="4">
        <f t="shared" si="0"/>
        <v>-2378.993008635875</v>
      </c>
      <c r="D28" s="4">
        <f>$C$11/(1+$B$6)^($B$7-ПлатежиАннуитет[[#This Row],[Период (№месяца)]]+1)</f>
        <v>-1310.483735251772</v>
      </c>
      <c r="E28" s="4">
        <f>-($C$11*((1+$B$6)^(ПлатежиАннуитет[[#This Row],[Период (№месяца)]]-1)-1)/$B$6+$B$8*(1+$B$6)^(ПлатежиАннуитет[[#This Row],[Период (№месяца)]]-1))*$B$6</f>
        <v>-1068.5092733841029</v>
      </c>
      <c r="F28" s="4">
        <f>SUM($D$16:D28)</f>
        <v>-15829.741864523563</v>
      </c>
      <c r="G28" s="4">
        <f>ПлатежиАннуитет[[#This Row],[Баланс на начало периода]]+ПлатежиАннуитет[[#This Row],[Тело кредита]]</f>
        <v>84170.258135476426</v>
      </c>
      <c r="H28" s="4"/>
      <c r="I28" s="10">
        <f>-$C$11/(1+$B$6)^($B$7+1)*EXP(LN(1+$B$6)*ПлатежиАннуитет[[#This Row],[Период (№месяца)]])</f>
        <v>1310.483735251772</v>
      </c>
      <c r="J28" s="10">
        <f>-$C$11+$C$11*(1+$B$6)^(-$B$7-1)*EXP(LN(1+$B$6)*ПлатежиАннуитет[[#This Row],[Период (№месяца)]])</f>
        <v>1068.5092733841029</v>
      </c>
      <c r="K28" s="10">
        <f>-$C$11*(1-1/(1+$B$6)^($B$7-ПлатежиАннуитет[[#This Row],[Период (№месяца)]]+1))</f>
        <v>1068.5092733841029</v>
      </c>
    </row>
    <row r="29" spans="1:14" x14ac:dyDescent="0.25">
      <c r="A29" s="3">
        <f>IF(ROW()-ROW(ПлатежиАннуитет[[#Headers],[Период (№месяца)]])&gt;$B$7,0,ROW()-ROW(ПлатежиАннуитет[[#Headers],[Период (№месяца)]]))</f>
        <v>14</v>
      </c>
      <c r="B29" s="4">
        <f>$B$8+SUM($D$15:D28)</f>
        <v>84170.258135476441</v>
      </c>
      <c r="C29" s="4">
        <f t="shared" si="0"/>
        <v>-2378.993008635875</v>
      </c>
      <c r="D29" s="4">
        <f>$C$11/(1+$B$6)^($B$7-ПлатежиАннуитет[[#This Row],[Период (№месяца)]]+1)</f>
        <v>-1326.8647819424195</v>
      </c>
      <c r="E29" s="4">
        <f>-($C$11*((1+$B$6)^(ПлатежиАннуитет[[#This Row],[Период (№месяца)]]-1)-1)/$B$6+$B$8*(1+$B$6)^(ПлатежиАннуитет[[#This Row],[Период (№месяца)]]-1))*$B$6</f>
        <v>-1052.1282266934559</v>
      </c>
      <c r="F29" s="4">
        <f>SUM($D$16:D29)</f>
        <v>-17156.606646465982</v>
      </c>
      <c r="G29" s="4">
        <f>ПлатежиАннуитет[[#This Row],[Баланс на начало периода]]+ПлатежиАннуитет[[#This Row],[Тело кредита]]</f>
        <v>82843.393353534018</v>
      </c>
      <c r="H29" s="4"/>
      <c r="I29" s="10">
        <f>-$C$11/(1+$B$6)^($B$7+1)*EXP(LN(1+$B$6)*ПлатежиАннуитет[[#This Row],[Период (№месяца)]])</f>
        <v>1326.8647819424191</v>
      </c>
      <c r="J29" s="10">
        <f>-$C$11+$C$11*(1+$B$6)^(-$B$7-1)*EXP(LN(1+$B$6)*ПлатежиАннуитет[[#This Row],[Период (№месяца)]])</f>
        <v>1052.1282266934559</v>
      </c>
      <c r="K29" s="10">
        <f>-$C$11*(1-1/(1+$B$6)^($B$7-ПлатежиАннуитет[[#This Row],[Период (№месяца)]]+1))</f>
        <v>1052.1282266934554</v>
      </c>
    </row>
    <row r="30" spans="1:14" x14ac:dyDescent="0.25">
      <c r="A30" s="3">
        <f>IF(ROW()-ROW(ПлатежиАннуитет[[#Headers],[Период (№месяца)]])&gt;$B$7,0,ROW()-ROW(ПлатежиАннуитет[[#Headers],[Период (№месяца)]]))</f>
        <v>15</v>
      </c>
      <c r="B30" s="4">
        <f>$B$8+SUM($D$15:D29)</f>
        <v>82843.393353534018</v>
      </c>
      <c r="C30" s="4">
        <f t="shared" si="0"/>
        <v>-2378.993008635875</v>
      </c>
      <c r="D30" s="4">
        <f>$C$11/(1+$B$6)^($B$7-ПлатежиАннуитет[[#This Row],[Период (№месяца)]]+1)</f>
        <v>-1343.4505917166996</v>
      </c>
      <c r="E30" s="4">
        <f>-($C$11*((1+$B$6)^(ПлатежиАннуитет[[#This Row],[Период (№месяца)]]-1)-1)/$B$6+$B$8*(1+$B$6)^(ПлатежиАннуитет[[#This Row],[Период (№месяца)]]-1))*$B$6</f>
        <v>-1035.5424169191754</v>
      </c>
      <c r="F30" s="4">
        <f>SUM($D$16:D30)</f>
        <v>-18500.057238182682</v>
      </c>
      <c r="G30" s="4">
        <f>ПлатежиАннуитет[[#This Row],[Баланс на начало периода]]+ПлатежиАннуитет[[#This Row],[Тело кредита]]</f>
        <v>81499.942761817321</v>
      </c>
      <c r="H30" s="4"/>
      <c r="I30" s="10">
        <f>-$C$11/(1+$B$6)^($B$7+1)*EXP(LN(1+$B$6)*ПлатежиАннуитет[[#This Row],[Период (№месяца)]])</f>
        <v>1343.4505917166991</v>
      </c>
      <c r="J30" s="10">
        <f>-$C$11+$C$11*(1+$B$6)^(-$B$7-1)*EXP(LN(1+$B$6)*ПлатежиАннуитет[[#This Row],[Период (№месяца)]])</f>
        <v>1035.5424169191758</v>
      </c>
      <c r="K30" s="10">
        <f>-$C$11*(1-1/(1+$B$6)^($B$7-ПлатежиАннуитет[[#This Row],[Период (№месяца)]]+1))</f>
        <v>1035.5424169191756</v>
      </c>
    </row>
    <row r="31" spans="1:14" x14ac:dyDescent="0.25">
      <c r="A31" s="3">
        <f>IF(ROW()-ROW(ПлатежиАннуитет[[#Headers],[Период (№месяца)]])&gt;$B$7,0,ROW()-ROW(ПлатежиАннуитет[[#Headers],[Период (№месяца)]]))</f>
        <v>16</v>
      </c>
      <c r="B31" s="4">
        <f>$B$8+SUM($D$15:D30)</f>
        <v>81499.942761817321</v>
      </c>
      <c r="C31" s="4">
        <f t="shared" si="0"/>
        <v>-2378.993008635875</v>
      </c>
      <c r="D31" s="4">
        <f>$C$11/(1+$B$6)^($B$7-ПлатежиАннуитет[[#This Row],[Период (№месяца)]]+1)</f>
        <v>-1360.2437241131584</v>
      </c>
      <c r="E31" s="4">
        <f>-($C$11*((1+$B$6)^(ПлатежиАннуитет[[#This Row],[Период (№месяца)]]-1)-1)/$B$6+$B$8*(1+$B$6)^(ПлатежиАннуитет[[#This Row],[Период (№месяца)]]-1))*$B$6</f>
        <v>-1018.7492845227169</v>
      </c>
      <c r="F31" s="4">
        <f>SUM($D$16:D31)</f>
        <v>-19860.300962295842</v>
      </c>
      <c r="G31" s="4">
        <f>ПлатежиАннуитет[[#This Row],[Баланс на начало периода]]+ПлатежиАннуитет[[#This Row],[Тело кредита]]</f>
        <v>80139.699037704166</v>
      </c>
      <c r="H31" s="4"/>
      <c r="I31" s="10">
        <f>-$C$11/(1+$B$6)^($B$7+1)*EXP(LN(1+$B$6)*ПлатежиАннуитет[[#This Row],[Период (№месяца)]])</f>
        <v>1360.2437241131579</v>
      </c>
      <c r="J31" s="10">
        <f>-$C$11+$C$11*(1+$B$6)^(-$B$7-1)*EXP(LN(1+$B$6)*ПлатежиАннуитет[[#This Row],[Период (№месяца)]])</f>
        <v>1018.7492845227171</v>
      </c>
      <c r="K31" s="10">
        <f>-$C$11*(1-1/(1+$B$6)^($B$7-ПлатежиАннуитет[[#This Row],[Период (№месяца)]]+1))</f>
        <v>1018.7492845227165</v>
      </c>
    </row>
    <row r="32" spans="1:14" x14ac:dyDescent="0.25">
      <c r="A32" s="3">
        <f>IF(ROW()-ROW(ПлатежиАннуитет[[#Headers],[Период (№месяца)]])&gt;$B$7,0,ROW()-ROW(ПлатежиАннуитет[[#Headers],[Период (№месяца)]]))</f>
        <v>17</v>
      </c>
      <c r="B32" s="4">
        <f>$B$8+SUM($D$15:D31)</f>
        <v>80139.699037704151</v>
      </c>
      <c r="C32" s="4">
        <f t="shared" si="0"/>
        <v>-2378.993008635875</v>
      </c>
      <c r="D32" s="4">
        <f>$C$11/(1+$B$6)^($B$7-ПлатежиАннуитет[[#This Row],[Период (№месяца)]]+1)</f>
        <v>-1377.2467706645728</v>
      </c>
      <c r="E32" s="4">
        <f>-($C$11*((1+$B$6)^(ПлатежиАннуитет[[#This Row],[Период (№месяца)]]-1)-1)/$B$6+$B$8*(1+$B$6)^(ПлатежиАннуитет[[#This Row],[Период (№месяца)]]-1))*$B$6</f>
        <v>-1001.7462379713022</v>
      </c>
      <c r="F32" s="4">
        <f>SUM($D$16:D32)</f>
        <v>-21237.547732960415</v>
      </c>
      <c r="G32" s="4">
        <f>ПлатежиАннуитет[[#This Row],[Баланс на начало периода]]+ПлатежиАннуитет[[#This Row],[Тело кредита]]</f>
        <v>78762.452267039582</v>
      </c>
      <c r="H32" s="4"/>
      <c r="I32" s="10">
        <f>-$C$11/(1+$B$6)^($B$7+1)*EXP(LN(1+$B$6)*ПлатежиАннуитет[[#This Row],[Период (№месяца)]])</f>
        <v>1377.2467706645723</v>
      </c>
      <c r="J32" s="10">
        <f>-$C$11+$C$11*(1+$B$6)^(-$B$7-1)*EXP(LN(1+$B$6)*ПлатежиАннуитет[[#This Row],[Период (№месяца)]])</f>
        <v>1001.7462379713027</v>
      </c>
      <c r="K32" s="10">
        <f>-$C$11*(1-1/(1+$B$6)^($B$7-ПлатежиАннуитет[[#This Row],[Период (№месяца)]]+1))</f>
        <v>1001.7462379713024</v>
      </c>
    </row>
    <row r="33" spans="1:11" x14ac:dyDescent="0.25">
      <c r="A33" s="3">
        <f>IF(ROW()-ROW(ПлатежиАннуитет[[#Headers],[Период (№месяца)]])&gt;$B$7,0,ROW()-ROW(ПлатежиАннуитет[[#Headers],[Период (№месяца)]]))</f>
        <v>18</v>
      </c>
      <c r="B33" s="4">
        <f>$B$8+SUM($D$15:D32)</f>
        <v>78762.452267039582</v>
      </c>
      <c r="C33" s="4">
        <f t="shared" si="0"/>
        <v>-2378.993008635875</v>
      </c>
      <c r="D33" s="4">
        <f>$C$11/(1+$B$6)^($B$7-ПлатежиАннуитет[[#This Row],[Период (№месяца)]]+1)</f>
        <v>-1394.4623552978801</v>
      </c>
      <c r="E33" s="4">
        <f>-($C$11*((1+$B$6)^(ПлатежиАннуитет[[#This Row],[Период (№месяца)]]-1)-1)/$B$6+$B$8*(1+$B$6)^(ПлатежиАннуитет[[#This Row],[Период (№месяца)]]-1))*$B$6</f>
        <v>-984.53065333799486</v>
      </c>
      <c r="F33" s="4">
        <f>SUM($D$16:D33)</f>
        <v>-22632.010088258296</v>
      </c>
      <c r="G33" s="4">
        <f>ПлатежиАннуитет[[#This Row],[Баланс на начало периода]]+ПлатежиАннуитет[[#This Row],[Тело кредита]]</f>
        <v>77367.989911741708</v>
      </c>
      <c r="H33" s="4"/>
      <c r="I33" s="10">
        <f>-$C$11/(1+$B$6)^($B$7+1)*EXP(LN(1+$B$6)*ПлатежиАннуитет[[#This Row],[Период (№месяца)]])</f>
        <v>1394.4623552978794</v>
      </c>
      <c r="J33" s="10">
        <f>-$C$11+$C$11*(1+$B$6)^(-$B$7-1)*EXP(LN(1+$B$6)*ПлатежиАннуитет[[#This Row],[Период (№месяца)]])</f>
        <v>984.53065333799555</v>
      </c>
      <c r="K33" s="10">
        <f>-$C$11*(1-1/(1+$B$6)^($B$7-ПлатежиАннуитет[[#This Row],[Период (№месяца)]]+1))</f>
        <v>984.53065333799509</v>
      </c>
    </row>
    <row r="34" spans="1:11" x14ac:dyDescent="0.25">
      <c r="A34" s="3">
        <f>IF(ROW()-ROW(ПлатежиАннуитет[[#Headers],[Период (№месяца)]])&gt;$B$7,0,ROW()-ROW(ПлатежиАннуитет[[#Headers],[Период (№месяца)]]))</f>
        <v>19</v>
      </c>
      <c r="B34" s="4">
        <f>$B$8+SUM($D$15:D33)</f>
        <v>77367.989911741708</v>
      </c>
      <c r="C34" s="4">
        <f t="shared" si="0"/>
        <v>-2378.993008635875</v>
      </c>
      <c r="D34" s="4">
        <f>$C$11/(1+$B$6)^($B$7-ПлатежиАннуитет[[#This Row],[Период (№месяца)]]+1)</f>
        <v>-1411.8931347391033</v>
      </c>
      <c r="E34" s="4">
        <f>-($C$11*((1+$B$6)^(ПлатежиАннуитет[[#This Row],[Период (№месяца)]]-1)-1)/$B$6+$B$8*(1+$B$6)^(ПлатежиАннуитет[[#This Row],[Период (№месяца)]]-1))*$B$6</f>
        <v>-967.09987389677121</v>
      </c>
      <c r="F34" s="4">
        <f>SUM($D$16:D34)</f>
        <v>-24043.9032229974</v>
      </c>
      <c r="G34" s="4">
        <f>ПлатежиАннуитет[[#This Row],[Баланс на начало периода]]+ПлатежиАннуитет[[#This Row],[Тело кредита]]</f>
        <v>75956.096777002604</v>
      </c>
      <c r="H34" s="4"/>
      <c r="I34" s="10">
        <f>-$C$11/(1+$B$6)^($B$7+1)*EXP(LN(1+$B$6)*ПлатежиАннуитет[[#This Row],[Период (№месяца)]])</f>
        <v>1411.8931347391028</v>
      </c>
      <c r="J34" s="10">
        <f>-$C$11+$C$11*(1+$B$6)^(-$B$7-1)*EXP(LN(1+$B$6)*ПлатежиАннуитет[[#This Row],[Период (№месяца)]])</f>
        <v>967.09987389677212</v>
      </c>
      <c r="K34" s="10">
        <f>-$C$11*(1-1/(1+$B$6)^($B$7-ПлатежиАннуитет[[#This Row],[Период (№месяца)]]+1))</f>
        <v>967.09987389677178</v>
      </c>
    </row>
    <row r="35" spans="1:11" x14ac:dyDescent="0.25">
      <c r="A35" s="3">
        <f>IF(ROW()-ROW(ПлатежиАннуитет[[#Headers],[Период (№месяца)]])&gt;$B$7,0,ROW()-ROW(ПлатежиАннуитет[[#Headers],[Период (№месяца)]]))</f>
        <v>20</v>
      </c>
      <c r="B35" s="4">
        <f>$B$8+SUM($D$15:D34)</f>
        <v>75956.096777002604</v>
      </c>
      <c r="C35" s="4">
        <f t="shared" si="0"/>
        <v>-2378.993008635875</v>
      </c>
      <c r="D35" s="4">
        <f>$C$11/(1+$B$6)^($B$7-ПлатежиАннуитет[[#This Row],[Период (№месяца)]]+1)</f>
        <v>-1429.541798923342</v>
      </c>
      <c r="E35" s="4">
        <f>-($C$11*((1+$B$6)^(ПлатежиАннуитет[[#This Row],[Период (№месяца)]]-1)-1)/$B$6+$B$8*(1+$B$6)^(ПлатежиАннуитет[[#This Row],[Период (№месяца)]]-1))*$B$6</f>
        <v>-949.45120971253289</v>
      </c>
      <c r="F35" s="4">
        <f>SUM($D$16:D35)</f>
        <v>-25473.445021920743</v>
      </c>
      <c r="G35" s="4">
        <f>ПлатежиАннуитет[[#This Row],[Баланс на начало периода]]+ПлатежиАннуитет[[#This Row],[Тело кредита]]</f>
        <v>74526.554978079264</v>
      </c>
      <c r="H35" s="4"/>
      <c r="I35" s="10">
        <f>-$C$11/(1+$B$6)^($B$7+1)*EXP(LN(1+$B$6)*ПлатежиАннуитет[[#This Row],[Период (№месяца)]])</f>
        <v>1429.5417989233417</v>
      </c>
      <c r="J35" s="10">
        <f>-$C$11+$C$11*(1+$B$6)^(-$B$7-1)*EXP(LN(1+$B$6)*ПлатежиАннуитет[[#This Row],[Период (№месяца)]])</f>
        <v>949.45120971253323</v>
      </c>
      <c r="K35" s="10">
        <f>-$C$11*(1-1/(1+$B$6)^($B$7-ПлатежиАннуитет[[#This Row],[Период (№месяца)]]+1))</f>
        <v>949.45120971253289</v>
      </c>
    </row>
    <row r="36" spans="1:11" x14ac:dyDescent="0.25">
      <c r="A36" s="3">
        <f>IF(ROW()-ROW(ПлатежиАннуитет[[#Headers],[Период (№месяца)]])&gt;$B$7,0,ROW()-ROW(ПлатежиАннуитет[[#Headers],[Период (№месяца)]]))</f>
        <v>21</v>
      </c>
      <c r="B36" s="4">
        <f>$B$8+SUM($D$15:D35)</f>
        <v>74526.55497807925</v>
      </c>
      <c r="C36" s="4">
        <f t="shared" si="0"/>
        <v>-2378.993008635875</v>
      </c>
      <c r="D36" s="4">
        <f>$C$11/(1+$B$6)^($B$7-ПлатежиАннуитет[[#This Row],[Период (№месяца)]]+1)</f>
        <v>-1447.4110714098838</v>
      </c>
      <c r="E36" s="4">
        <f>-($C$11*((1+$B$6)^(ПлатежиАннуитет[[#This Row],[Период (№месяца)]]-1)-1)/$B$6+$B$8*(1+$B$6)^(ПлатежиАннуитет[[#This Row],[Период (№месяца)]]-1))*$B$6</f>
        <v>-931.58193722599094</v>
      </c>
      <c r="F36" s="4">
        <f>SUM($D$16:D36)</f>
        <v>-26920.856093330625</v>
      </c>
      <c r="G36" s="4">
        <f>ПлатежиАннуитет[[#This Row],[Баланс на начало периода]]+ПлатежиАннуитет[[#This Row],[Тело кредита]]</f>
        <v>73079.143906669371</v>
      </c>
      <c r="H36" s="4"/>
      <c r="I36" s="10">
        <f>-$C$11/(1+$B$6)^($B$7+1)*EXP(LN(1+$B$6)*ПлатежиАннуитет[[#This Row],[Период (№месяца)]])</f>
        <v>1447.4110714098833</v>
      </c>
      <c r="J36" s="10">
        <f>-$C$11+$C$11*(1+$B$6)^(-$B$7-1)*EXP(LN(1+$B$6)*ПлатежиАннуитет[[#This Row],[Период (№месяца)]])</f>
        <v>931.58193722599162</v>
      </c>
      <c r="K36" s="10">
        <f>-$C$11*(1-1/(1+$B$6)^($B$7-ПлатежиАннуитет[[#This Row],[Период (№месяца)]]+1))</f>
        <v>931.58193722599106</v>
      </c>
    </row>
    <row r="37" spans="1:11" x14ac:dyDescent="0.25">
      <c r="A37" s="3">
        <f>IF(ROW()-ROW(ПлатежиАннуитет[[#Headers],[Период (№месяца)]])&gt;$B$7,0,ROW()-ROW(ПлатежиАннуитет[[#Headers],[Период (№месяца)]]))</f>
        <v>22</v>
      </c>
      <c r="B37" s="4">
        <f>$B$8+SUM($D$15:D36)</f>
        <v>73079.143906669371</v>
      </c>
      <c r="C37" s="4">
        <f t="shared" si="0"/>
        <v>-2378.993008635875</v>
      </c>
      <c r="D37" s="4">
        <f>$C$11/(1+$B$6)^($B$7-ПлатежиАннуитет[[#This Row],[Период (№месяца)]]+1)</f>
        <v>-1465.5037098025075</v>
      </c>
      <c r="E37" s="4">
        <f>-($C$11*((1+$B$6)^(ПлатежиАннуитет[[#This Row],[Период (№месяца)]]-1)-1)/$B$6+$B$8*(1+$B$6)^(ПлатежиАннуитет[[#This Row],[Период (№месяца)]]-1))*$B$6</f>
        <v>-913.48929883336746</v>
      </c>
      <c r="F37" s="4">
        <f>SUM($D$16:D37)</f>
        <v>-28386.359803133131</v>
      </c>
      <c r="G37" s="4">
        <f>ПлатежиАннуитет[[#This Row],[Баланс на начало периода]]+ПлатежиАннуитет[[#This Row],[Тело кредита]]</f>
        <v>71613.640196866865</v>
      </c>
      <c r="H37" s="4"/>
      <c r="I37" s="10">
        <f>-$C$11/(1+$B$6)^($B$7+1)*EXP(LN(1+$B$6)*ПлатежиАннуитет[[#This Row],[Период (№месяца)]])</f>
        <v>1465.5037098025068</v>
      </c>
      <c r="J37" s="10">
        <f>-$C$11+$C$11*(1+$B$6)^(-$B$7-1)*EXP(LN(1+$B$6)*ПлатежиАннуитет[[#This Row],[Период (№месяца)]])</f>
        <v>913.48929883336814</v>
      </c>
      <c r="K37" s="10">
        <f>-$C$11*(1-1/(1+$B$6)^($B$7-ПлатежиАннуитет[[#This Row],[Период (№месяца)]]+1))</f>
        <v>913.48929883336746</v>
      </c>
    </row>
    <row r="38" spans="1:11" x14ac:dyDescent="0.25">
      <c r="A38" s="3">
        <f>IF(ROW()-ROW(ПлатежиАннуитет[[#Headers],[Период (№месяца)]])&gt;$B$7,0,ROW()-ROW(ПлатежиАннуитет[[#Headers],[Период (№месяца)]]))</f>
        <v>23</v>
      </c>
      <c r="B38" s="4">
        <f>$B$8+SUM($D$15:D37)</f>
        <v>71613.640196866865</v>
      </c>
      <c r="C38" s="4">
        <f t="shared" si="0"/>
        <v>-2378.993008635875</v>
      </c>
      <c r="D38" s="4">
        <f>$C$11/(1+$B$6)^($B$7-ПлатежиАннуитет[[#This Row],[Период (№месяца)]]+1)</f>
        <v>-1483.8225061750388</v>
      </c>
      <c r="E38" s="4">
        <f>-($C$11*((1+$B$6)^(ПлатежиАннуитет[[#This Row],[Период (№месяца)]]-1)-1)/$B$6+$B$8*(1+$B$6)^(ПлатежиАннуитет[[#This Row],[Период (№месяца)]]-1))*$B$6</f>
        <v>-895.17050246083625</v>
      </c>
      <c r="F38" s="4">
        <f>SUM($D$16:D38)</f>
        <v>-29870.182309308169</v>
      </c>
      <c r="G38" s="4">
        <f>ПлатежиАннуитет[[#This Row],[Баланс на начало периода]]+ПлатежиАннуитет[[#This Row],[Тело кредита]]</f>
        <v>70129.817690691823</v>
      </c>
      <c r="H38" s="4"/>
      <c r="I38" s="10">
        <f>-$C$11/(1+$B$6)^($B$7+1)*EXP(LN(1+$B$6)*ПлатежиАннуитет[[#This Row],[Период (№месяца)]])</f>
        <v>1483.8225061750381</v>
      </c>
      <c r="J38" s="10">
        <f>-$C$11+$C$11*(1+$B$6)^(-$B$7-1)*EXP(LN(1+$B$6)*ПлатежиАннуитет[[#This Row],[Период (№месяца)]])</f>
        <v>895.17050246083681</v>
      </c>
      <c r="K38" s="10">
        <f>-$C$11*(1-1/(1+$B$6)^($B$7-ПлатежиАннуитет[[#This Row],[Период (№месяца)]]+1))</f>
        <v>895.17050246083625</v>
      </c>
    </row>
    <row r="39" spans="1:11" x14ac:dyDescent="0.25">
      <c r="A39" s="3">
        <f>IF(ROW()-ROW(ПлатежиАннуитет[[#Headers],[Период (№месяца)]])&gt;$B$7,0,ROW()-ROW(ПлатежиАннуитет[[#Headers],[Период (№месяца)]]))</f>
        <v>24</v>
      </c>
      <c r="B39" s="4">
        <f>$B$8+SUM($D$15:D38)</f>
        <v>70129.817690691823</v>
      </c>
      <c r="C39" s="4">
        <f t="shared" si="0"/>
        <v>-2378.993008635875</v>
      </c>
      <c r="D39" s="4">
        <f>$C$11/(1+$B$6)^($B$7-ПлатежиАннуитет[[#This Row],[Период (№месяца)]]+1)</f>
        <v>-1502.3702875022268</v>
      </c>
      <c r="E39" s="4">
        <f>-($C$11*((1+$B$6)^(ПлатежиАннуитет[[#This Row],[Период (№месяца)]]-1)-1)/$B$6+$B$8*(1+$B$6)^(ПлатежиАннуитет[[#This Row],[Период (№месяца)]]-1))*$B$6</f>
        <v>-876.6227211336485</v>
      </c>
      <c r="F39" s="4">
        <f>SUM($D$16:D39)</f>
        <v>-31372.552596810398</v>
      </c>
      <c r="G39" s="4">
        <f>ПлатежиАннуитет[[#This Row],[Баланс на начало периода]]+ПлатежиАннуитет[[#This Row],[Тело кредита]]</f>
        <v>68627.447403189595</v>
      </c>
      <c r="H39" s="4"/>
      <c r="I39" s="10">
        <f>-$C$11/(1+$B$6)^($B$7+1)*EXP(LN(1+$B$6)*ПлатежиАннуитет[[#This Row],[Период (№месяца)]])</f>
        <v>1502.3702875022259</v>
      </c>
      <c r="J39" s="10">
        <f>-$C$11+$C$11*(1+$B$6)^(-$B$7-1)*EXP(LN(1+$B$6)*ПлатежиАннуитет[[#This Row],[Период (№месяца)]])</f>
        <v>876.62272113364907</v>
      </c>
      <c r="K39" s="10">
        <f>-$C$11*(1-1/(1+$B$6)^($B$7-ПлатежиАннуитет[[#This Row],[Период (№месяца)]]+1))</f>
        <v>876.62272113364827</v>
      </c>
    </row>
    <row r="40" spans="1:11" x14ac:dyDescent="0.25">
      <c r="A40" s="3">
        <f>IF(ROW()-ROW(ПлатежиАннуитет[[#Headers],[Период (№месяца)]])&gt;$B$7,0,ROW()-ROW(ПлатежиАннуитет[[#Headers],[Период (№месяца)]]))</f>
        <v>25</v>
      </c>
      <c r="B40" s="4">
        <f>$B$8+SUM($D$15:D39)</f>
        <v>68627.44740318961</v>
      </c>
      <c r="C40" s="4">
        <f t="shared" si="0"/>
        <v>-2378.993008635875</v>
      </c>
      <c r="D40" s="4">
        <f>$C$11/(1+$B$6)^($B$7-ПлатежиАннуитет[[#This Row],[Период (№месяца)]]+1)</f>
        <v>-1521.1499160960045</v>
      </c>
      <c r="E40" s="4">
        <f>-($C$11*((1+$B$6)^(ПлатежиАннуитет[[#This Row],[Период (№месяца)]]-1)-1)/$B$6+$B$8*(1+$B$6)^(ПлатежиАннуитет[[#This Row],[Период (№месяца)]]-1))*$B$6</f>
        <v>-857.84309253987021</v>
      </c>
      <c r="F40" s="4">
        <f>SUM($D$16:D40)</f>
        <v>-32893.702512906399</v>
      </c>
      <c r="G40" s="4">
        <f>ПлатежиАннуитет[[#This Row],[Баланс на начало периода]]+ПлатежиАннуитет[[#This Row],[Тело кредита]]</f>
        <v>67106.297487093601</v>
      </c>
      <c r="H40" s="4"/>
      <c r="I40" s="10">
        <f>-$C$11/(1+$B$6)^($B$7+1)*EXP(LN(1+$B$6)*ПлатежиАннуитет[[#This Row],[Период (№месяца)]])</f>
        <v>1521.1499160960036</v>
      </c>
      <c r="J40" s="10">
        <f>-$C$11+$C$11*(1+$B$6)^(-$B$7-1)*EXP(LN(1+$B$6)*ПлатежиАннуитет[[#This Row],[Период (№месяца)]])</f>
        <v>857.84309253987135</v>
      </c>
      <c r="K40" s="10">
        <f>-$C$11*(1-1/(1+$B$6)^($B$7-ПлатежиАннуитет[[#This Row],[Период (№месяца)]]+1))</f>
        <v>857.84309253987044</v>
      </c>
    </row>
    <row r="41" spans="1:11" x14ac:dyDescent="0.25">
      <c r="A41" s="3">
        <f>IF(ROW()-ROW(ПлатежиАннуитет[[#Headers],[Период (№месяца)]])&gt;$B$7,0,ROW()-ROW(ПлатежиАннуитет[[#Headers],[Период (№месяца)]]))</f>
        <v>26</v>
      </c>
      <c r="B41" s="4">
        <f>$B$8+SUM($D$15:D40)</f>
        <v>67106.297487093601</v>
      </c>
      <c r="C41" s="4">
        <f t="shared" si="0"/>
        <v>-2378.993008635875</v>
      </c>
      <c r="D41" s="4">
        <f>$C$11/(1+$B$6)^($B$7-ПлатежиАннуитет[[#This Row],[Период (№месяца)]]+1)</f>
        <v>-1540.1642900472045</v>
      </c>
      <c r="E41" s="4">
        <f>-($C$11*((1+$B$6)^(ПлатежиАннуитет[[#This Row],[Период (№месяца)]]-1)-1)/$B$6+$B$8*(1+$B$6)^(ПлатежиАннуитет[[#This Row],[Период (№месяца)]]-1))*$B$6</f>
        <v>-838.82871858867054</v>
      </c>
      <c r="F41" s="4">
        <f>SUM($D$16:D41)</f>
        <v>-34433.866802953606</v>
      </c>
      <c r="G41" s="4">
        <f>ПлатежиАннуитет[[#This Row],[Баланс на начало периода]]+ПлатежиАннуитет[[#This Row],[Тело кредита]]</f>
        <v>65566.133197046394</v>
      </c>
      <c r="H41" s="4"/>
      <c r="I41" s="10">
        <f>-$C$11/(1+$B$6)^($B$7+1)*EXP(LN(1+$B$6)*ПлатежиАннуитет[[#This Row],[Период (№месяца)]])</f>
        <v>1540.1642900472036</v>
      </c>
      <c r="J41" s="10">
        <f>-$C$11+$C$11*(1+$B$6)^(-$B$7-1)*EXP(LN(1+$B$6)*ПлатежиАннуитет[[#This Row],[Период (№месяца)]])</f>
        <v>838.82871858867134</v>
      </c>
      <c r="K41" s="10">
        <f>-$C$11*(1-1/(1+$B$6)^($B$7-ПлатежиАннуитет[[#This Row],[Период (№месяца)]]+1))</f>
        <v>838.82871858867043</v>
      </c>
    </row>
    <row r="42" spans="1:11" x14ac:dyDescent="0.25">
      <c r="A42" s="3">
        <f>IF(ROW()-ROW(ПлатежиАннуитет[[#Headers],[Период (№месяца)]])&gt;$B$7,0,ROW()-ROW(ПлатежиАннуитет[[#Headers],[Период (№месяца)]]))</f>
        <v>27</v>
      </c>
      <c r="B42" s="4">
        <f>$B$8+SUM($D$15:D41)</f>
        <v>65566.133197046394</v>
      </c>
      <c r="C42" s="4">
        <f t="shared" si="0"/>
        <v>-2378.993008635875</v>
      </c>
      <c r="D42" s="4">
        <f>$C$11/(1+$B$6)^($B$7-ПлатежиАннуитет[[#This Row],[Период (№месяца)]]+1)</f>
        <v>-1559.4163436727945</v>
      </c>
      <c r="E42" s="4">
        <f>-($C$11*((1+$B$6)^(ПлатежиАннуитет[[#This Row],[Период (№месяца)]]-1)-1)/$B$6+$B$8*(1+$B$6)^(ПлатежиАннуитет[[#This Row],[Период (№месяца)]]-1))*$B$6</f>
        <v>-819.57666496308002</v>
      </c>
      <c r="F42" s="4">
        <f>SUM($D$16:D42)</f>
        <v>-35993.283146626403</v>
      </c>
      <c r="G42" s="4">
        <f>ПлатежиАннуитет[[#This Row],[Баланс на начало периода]]+ПлатежиАннуитет[[#This Row],[Тело кредита]]</f>
        <v>64006.716853373597</v>
      </c>
      <c r="H42" s="4"/>
      <c r="I42" s="10">
        <f>-$C$11/(1+$B$6)^($B$7+1)*EXP(LN(1+$B$6)*ПлатежиАннуитет[[#This Row],[Период (№месяца)]])</f>
        <v>1559.4163436727938</v>
      </c>
      <c r="J42" s="10">
        <f>-$C$11+$C$11*(1+$B$6)^(-$B$7-1)*EXP(LN(1+$B$6)*ПлатежиАннуитет[[#This Row],[Период (№месяца)]])</f>
        <v>819.57666496308116</v>
      </c>
      <c r="K42" s="10">
        <f>-$C$11*(1-1/(1+$B$6)^($B$7-ПлатежиАннуитет[[#This Row],[Период (№месяца)]]+1))</f>
        <v>819.57666496308047</v>
      </c>
    </row>
    <row r="43" spans="1:11" x14ac:dyDescent="0.25">
      <c r="A43" s="3">
        <f>IF(ROW()-ROW(ПлатежиАннуитет[[#Headers],[Период (№месяца)]])&gt;$B$7,0,ROW()-ROW(ПлатежиАннуитет[[#Headers],[Период (№месяца)]]))</f>
        <v>28</v>
      </c>
      <c r="B43" s="4">
        <f>$B$8+SUM($D$15:D42)</f>
        <v>64006.716853373597</v>
      </c>
      <c r="C43" s="4">
        <f t="shared" si="0"/>
        <v>-2378.993008635875</v>
      </c>
      <c r="D43" s="4">
        <f>$C$11/(1+$B$6)^($B$7-ПлатежиАннуитет[[#This Row],[Период (№месяца)]]+1)</f>
        <v>-1578.9090479687045</v>
      </c>
      <c r="E43" s="4">
        <f>-($C$11*((1+$B$6)^(ПлатежиАннуитет[[#This Row],[Период (№месяца)]]-1)-1)/$B$6+$B$8*(1+$B$6)^(ПлатежиАннуитет[[#This Row],[Период (№месяца)]]-1))*$B$6</f>
        <v>-800.08396066717046</v>
      </c>
      <c r="F43" s="4">
        <f>SUM($D$16:D43)</f>
        <v>-37572.192194595111</v>
      </c>
      <c r="G43" s="4">
        <f>ПлатежиАннуитет[[#This Row],[Баланс на начало периода]]+ПлатежиАннуитет[[#This Row],[Тело кредита]]</f>
        <v>62427.807805404889</v>
      </c>
      <c r="H43" s="4"/>
      <c r="I43" s="10">
        <f>-$C$11/(1+$B$6)^($B$7+1)*EXP(LN(1+$B$6)*ПлатежиАннуитет[[#This Row],[Период (№месяца)]])</f>
        <v>1578.9090479687036</v>
      </c>
      <c r="J43" s="10">
        <f>-$C$11+$C$11*(1+$B$6)^(-$B$7-1)*EXP(LN(1+$B$6)*ПлатежиАннуитет[[#This Row],[Период (№месяца)]])</f>
        <v>800.08396066717137</v>
      </c>
      <c r="K43" s="10">
        <f>-$C$11*(1-1/(1+$B$6)^($B$7-ПлатежиАннуитет[[#This Row],[Период (№месяца)]]+1))</f>
        <v>800.08396066717057</v>
      </c>
    </row>
    <row r="44" spans="1:11" x14ac:dyDescent="0.25">
      <c r="A44" s="3">
        <f>IF(ROW()-ROW(ПлатежиАннуитет[[#Headers],[Период (№месяца)]])&gt;$B$7,0,ROW()-ROW(ПлатежиАннуитет[[#Headers],[Период (№месяца)]]))</f>
        <v>29</v>
      </c>
      <c r="B44" s="4">
        <f>$B$8+SUM($D$15:D43)</f>
        <v>62427.807805404889</v>
      </c>
      <c r="C44" s="4">
        <f t="shared" si="0"/>
        <v>-2378.993008635875</v>
      </c>
      <c r="D44" s="4">
        <f>$C$11/(1+$B$6)^($B$7-ПлатежиАннуитет[[#This Row],[Период (№месяца)]]+1)</f>
        <v>-1598.6454110683133</v>
      </c>
      <c r="E44" s="4">
        <f>-($C$11*((1+$B$6)^(ПлатежиАннуитет[[#This Row],[Период (№месяца)]]-1)-1)/$B$6+$B$8*(1+$B$6)^(ПлатежиАннуитет[[#This Row],[Период (№месяца)]]-1))*$B$6</f>
        <v>-780.34759756756171</v>
      </c>
      <c r="F44" s="4">
        <f>SUM($D$16:D44)</f>
        <v>-39170.837605663422</v>
      </c>
      <c r="G44" s="4">
        <f>ПлатежиАннуитет[[#This Row],[Баланс на начало периода]]+ПлатежиАннуитет[[#This Row],[Тело кредита]]</f>
        <v>60829.162394336578</v>
      </c>
      <c r="H44" s="4"/>
      <c r="I44" s="10">
        <f>-$C$11/(1+$B$6)^($B$7+1)*EXP(LN(1+$B$6)*ПлатежиАннуитет[[#This Row],[Период (№месяца)]])</f>
        <v>1598.6454110683123</v>
      </c>
      <c r="J44" s="10">
        <f>-$C$11+$C$11*(1+$B$6)^(-$B$7-1)*EXP(LN(1+$B$6)*ПлатежиАннуитет[[#This Row],[Период (№месяца)]])</f>
        <v>780.34759756756262</v>
      </c>
      <c r="K44" s="10">
        <f>-$C$11*(1-1/(1+$B$6)^($B$7-ПлатежиАннуитет[[#This Row],[Период (№месяца)]]+1))</f>
        <v>780.34759756756171</v>
      </c>
    </row>
    <row r="45" spans="1:11" x14ac:dyDescent="0.25">
      <c r="A45" s="3">
        <f>IF(ROW()-ROW(ПлатежиАннуитет[[#Headers],[Период (№месяца)]])&gt;$B$7,0,ROW()-ROW(ПлатежиАннуитет[[#Headers],[Период (№месяца)]]))</f>
        <v>30</v>
      </c>
      <c r="B45" s="4">
        <f>$B$8+SUM($D$15:D44)</f>
        <v>60829.162394336578</v>
      </c>
      <c r="C45" s="4">
        <f t="shared" si="0"/>
        <v>-2378.993008635875</v>
      </c>
      <c r="D45" s="4">
        <f>$C$11/(1+$B$6)^($B$7-ПлатежиАннуитет[[#This Row],[Период (№месяца)]]+1)</f>
        <v>-1618.6284787066672</v>
      </c>
      <c r="E45" s="4">
        <f>-($C$11*((1+$B$6)^(ПлатежиАннуитет[[#This Row],[Период (№месяца)]]-1)-1)/$B$6+$B$8*(1+$B$6)^(ПлатежиАннуитет[[#This Row],[Период (№месяца)]]-1))*$B$6</f>
        <v>-760.36452992920795</v>
      </c>
      <c r="F45" s="4">
        <f>SUM($D$16:D45)</f>
        <v>-40789.466084370091</v>
      </c>
      <c r="G45" s="4">
        <f>ПлатежиАннуитет[[#This Row],[Баланс на начало периода]]+ПлатежиАннуитет[[#This Row],[Тело кредита]]</f>
        <v>59210.533915629909</v>
      </c>
      <c r="H45" s="4"/>
      <c r="I45" s="10">
        <f>-$C$11/(1+$B$6)^($B$7+1)*EXP(LN(1+$B$6)*ПлатежиАннуитет[[#This Row],[Период (№месяца)]])</f>
        <v>1618.6284787066659</v>
      </c>
      <c r="J45" s="10">
        <f>-$C$11+$C$11*(1+$B$6)^(-$B$7-1)*EXP(LN(1+$B$6)*ПлатежиАннуитет[[#This Row],[Период (№месяца)]])</f>
        <v>760.36452992920908</v>
      </c>
      <c r="K45" s="10">
        <f>-$C$11*(1-1/(1+$B$6)^($B$7-ПлатежиАннуитет[[#This Row],[Период (№месяца)]]+1))</f>
        <v>760.36452992920749</v>
      </c>
    </row>
    <row r="46" spans="1:11" x14ac:dyDescent="0.25">
      <c r="A46" s="3">
        <f>IF(ROW()-ROW(ПлатежиАннуитет[[#Headers],[Период (№месяца)]])&gt;$B$7,0,ROW()-ROW(ПлатежиАннуитет[[#Headers],[Период (№месяца)]]))</f>
        <v>31</v>
      </c>
      <c r="B46" s="4">
        <f>$B$8+SUM($D$15:D45)</f>
        <v>59210.533915629909</v>
      </c>
      <c r="C46" s="4">
        <f t="shared" si="0"/>
        <v>-2378.993008635875</v>
      </c>
      <c r="D46" s="4">
        <f>$C$11/(1+$B$6)^($B$7-ПлатежиАннуитет[[#This Row],[Период (№месяца)]]+1)</f>
        <v>-1638.8613346905001</v>
      </c>
      <c r="E46" s="4">
        <f>-($C$11*((1+$B$6)^(ПлатежиАннуитет[[#This Row],[Период (№месяца)]]-1)-1)/$B$6+$B$8*(1+$B$6)^(ПлатежиАннуитет[[#This Row],[Период (№месяца)]]-1))*$B$6</f>
        <v>-740.13167394537402</v>
      </c>
      <c r="F46" s="4">
        <f>SUM($D$16:D46)</f>
        <v>-42428.327419060588</v>
      </c>
      <c r="G46" s="4">
        <f>ПлатежиАннуитет[[#This Row],[Баланс на начало периода]]+ПлатежиАннуитет[[#This Row],[Тело кредита]]</f>
        <v>57571.672580939412</v>
      </c>
      <c r="H46" s="4"/>
      <c r="I46" s="10">
        <f>-$C$11/(1+$B$6)^($B$7+1)*EXP(LN(1+$B$6)*ПлатежиАннуитет[[#This Row],[Период (№месяца)]])</f>
        <v>1638.8613346904995</v>
      </c>
      <c r="J46" s="10">
        <f>-$C$11+$C$11*(1+$B$6)^(-$B$7-1)*EXP(LN(1+$B$6)*ПлатежиАннуитет[[#This Row],[Период (№месяца)]])</f>
        <v>740.1316739453755</v>
      </c>
      <c r="K46" s="10">
        <f>-$C$11*(1-1/(1+$B$6)^($B$7-ПлатежиАннуитет[[#This Row],[Период (№месяца)]]+1))</f>
        <v>740.1316739453747</v>
      </c>
    </row>
    <row r="47" spans="1:11" x14ac:dyDescent="0.25">
      <c r="A47" s="3">
        <f>IF(ROW()-ROW(ПлатежиАннуитет[[#Headers],[Период (№месяца)]])&gt;$B$7,0,ROW()-ROW(ПлатежиАннуитет[[#Headers],[Период (№месяца)]]))</f>
        <v>32</v>
      </c>
      <c r="B47" s="4">
        <f>$B$8+SUM($D$15:D46)</f>
        <v>57571.672580939412</v>
      </c>
      <c r="C47" s="4">
        <f t="shared" si="0"/>
        <v>-2378.993008635875</v>
      </c>
      <c r="D47" s="4">
        <f>$C$11/(1+$B$6)^($B$7-ПлатежиАннуитет[[#This Row],[Период (№месяца)]]+1)</f>
        <v>-1659.3471013741319</v>
      </c>
      <c r="E47" s="4">
        <f>-($C$11*((1+$B$6)^(ПлатежиАннуитет[[#This Row],[Период (№месяца)]]-1)-1)/$B$6+$B$8*(1+$B$6)^(ПлатежиАннуитет[[#This Row],[Период (№месяца)]]-1))*$B$6</f>
        <v>-719.64590726174333</v>
      </c>
      <c r="F47" s="4">
        <f>SUM($D$16:D47)</f>
        <v>-44087.674520434717</v>
      </c>
      <c r="G47" s="4">
        <f>ПлатежиАннуитет[[#This Row],[Баланс на начало периода]]+ПлатежиАннуитет[[#This Row],[Тело кредита]]</f>
        <v>55912.325479565283</v>
      </c>
      <c r="H47" s="4"/>
      <c r="I47" s="10">
        <f>-$C$11/(1+$B$6)^($B$7+1)*EXP(LN(1+$B$6)*ПлатежиАннуитет[[#This Row],[Период (№месяца)]])</f>
        <v>1659.3471013741305</v>
      </c>
      <c r="J47" s="10">
        <f>-$C$11+$C$11*(1+$B$6)^(-$B$7-1)*EXP(LN(1+$B$6)*ПлатежиАннуитет[[#This Row],[Период (№месяца)]])</f>
        <v>719.64590726174447</v>
      </c>
      <c r="K47" s="10">
        <f>-$C$11*(1-1/(1+$B$6)^($B$7-ПлатежиАннуитет[[#This Row],[Период (№месяца)]]+1))</f>
        <v>719.6459072617431</v>
      </c>
    </row>
    <row r="48" spans="1:11" x14ac:dyDescent="0.25">
      <c r="A48" s="3">
        <f>IF(ROW()-ROW(ПлатежиАннуитет[[#Headers],[Период (№месяца)]])&gt;$B$7,0,ROW()-ROW(ПлатежиАннуитет[[#Headers],[Период (№месяца)]]))</f>
        <v>33</v>
      </c>
      <c r="B48" s="4">
        <f>$B$8+SUM($D$15:D47)</f>
        <v>55912.325479565283</v>
      </c>
      <c r="C48" s="4">
        <f t="shared" ref="C48:C75" si="1">$C$11</f>
        <v>-2378.993008635875</v>
      </c>
      <c r="D48" s="4">
        <f>$C$11/(1+$B$6)^($B$7-ПлатежиАннуитет[[#This Row],[Период (№месяца)]]+1)</f>
        <v>-1680.0889401413083</v>
      </c>
      <c r="E48" s="4">
        <f>-($C$11*((1+$B$6)^(ПлатежиАннуитет[[#This Row],[Период (№месяца)]]-1)-1)/$B$6+$B$8*(1+$B$6)^(ПлатежиАннуитет[[#This Row],[Период (№месяца)]]-1))*$B$6</f>
        <v>-698.90406849456645</v>
      </c>
      <c r="F48" s="4">
        <f>SUM($D$16:D48)</f>
        <v>-45767.763460576025</v>
      </c>
      <c r="G48" s="4">
        <f>ПлатежиАннуитет[[#This Row],[Баланс на начало периода]]+ПлатежиАннуитет[[#This Row],[Тело кредита]]</f>
        <v>54232.236539423975</v>
      </c>
      <c r="H48" s="4"/>
      <c r="I48" s="10">
        <f>-$C$11/(1+$B$6)^($B$7+1)*EXP(LN(1+$B$6)*ПлатежиАннуитет[[#This Row],[Период (№месяца)]])</f>
        <v>1680.0889401413069</v>
      </c>
      <c r="J48" s="10">
        <f>-$C$11+$C$11*(1+$B$6)^(-$B$7-1)*EXP(LN(1+$B$6)*ПлатежиАннуитет[[#This Row],[Период (№месяца)]])</f>
        <v>698.90406849456804</v>
      </c>
      <c r="K48" s="10">
        <f>-$C$11*(1-1/(1+$B$6)^($B$7-ПлатежиАннуитет[[#This Row],[Период (№месяца)]]+1))</f>
        <v>698.90406849456667</v>
      </c>
    </row>
    <row r="49" spans="1:11" x14ac:dyDescent="0.25">
      <c r="A49" s="3">
        <f>IF(ROW()-ROW(ПлатежиАннуитет[[#Headers],[Период (№месяца)]])&gt;$B$7,0,ROW()-ROW(ПлатежиАннуитет[[#Headers],[Период (№месяца)]]))</f>
        <v>34</v>
      </c>
      <c r="B49" s="4">
        <f>$B$8+SUM($D$15:D48)</f>
        <v>54232.236539423975</v>
      </c>
      <c r="C49" s="4">
        <f t="shared" si="1"/>
        <v>-2378.993008635875</v>
      </c>
      <c r="D49" s="4">
        <f>$C$11/(1+$B$6)^($B$7-ПлатежиАннуитет[[#This Row],[Период (№месяца)]]+1)</f>
        <v>-1701.0900518930748</v>
      </c>
      <c r="E49" s="4">
        <f>-($C$11*((1+$B$6)^(ПлатежиАннуитет[[#This Row],[Период (№месяца)]]-1)-1)/$B$6+$B$8*(1+$B$6)^(ПлатежиАннуитет[[#This Row],[Период (№месяца)]]-1))*$B$6</f>
        <v>-677.90295674280003</v>
      </c>
      <c r="F49" s="4">
        <f>SUM($D$16:D49)</f>
        <v>-47468.853512469097</v>
      </c>
      <c r="G49" s="4">
        <f>ПлатежиАннуитет[[#This Row],[Баланс на начало периода]]+ПлатежиАннуитет[[#This Row],[Тело кредита]]</f>
        <v>52531.146487530903</v>
      </c>
      <c r="H49" s="4"/>
      <c r="I49" s="10">
        <f>-$C$11/(1+$B$6)^($B$7+1)*EXP(LN(1+$B$6)*ПлатежиАннуитет[[#This Row],[Период (№месяца)]])</f>
        <v>1701.0900518930735</v>
      </c>
      <c r="J49" s="10">
        <f>-$C$11+$C$11*(1+$B$6)^(-$B$7-1)*EXP(LN(1+$B$6)*ПлатежиАннуитет[[#This Row],[Период (№месяца)]])</f>
        <v>677.90295674280151</v>
      </c>
      <c r="K49" s="10">
        <f>-$C$11*(1-1/(1+$B$6)^($B$7-ПлатежиАннуитет[[#This Row],[Период (№месяца)]]+1))</f>
        <v>677.90295674280014</v>
      </c>
    </row>
    <row r="50" spans="1:11" x14ac:dyDescent="0.25">
      <c r="A50" s="3">
        <f>IF(ROW()-ROW(ПлатежиАннуитет[[#Headers],[Период (№месяца)]])&gt;$B$7,0,ROW()-ROW(ПлатежиАннуитет[[#Headers],[Период (№месяца)]]))</f>
        <v>35</v>
      </c>
      <c r="B50" s="4">
        <f>$B$8+SUM($D$15:D49)</f>
        <v>52531.146487530903</v>
      </c>
      <c r="C50" s="4">
        <f t="shared" si="1"/>
        <v>-2378.993008635875</v>
      </c>
      <c r="D50" s="4">
        <f>$C$11/(1+$B$6)^($B$7-ПлатежиАннуитет[[#This Row],[Период (№месяца)]]+1)</f>
        <v>-1722.3536775417379</v>
      </c>
      <c r="E50" s="4">
        <f>-($C$11*((1+$B$6)^(ПлатежиАннуитет[[#This Row],[Период (№месяца)]]-1)-1)/$B$6+$B$8*(1+$B$6)^(ПлатежиАннуитет[[#This Row],[Период (№месяца)]]-1))*$B$6</f>
        <v>-656.63933109413665</v>
      </c>
      <c r="F50" s="4">
        <f>SUM($D$16:D50)</f>
        <v>-49191.207190010835</v>
      </c>
      <c r="G50" s="4">
        <f>ПлатежиАннуитет[[#This Row],[Баланс на начало периода]]+ПлатежиАннуитет[[#This Row],[Тело кредита]]</f>
        <v>50808.792809989165</v>
      </c>
      <c r="H50" s="4"/>
      <c r="I50" s="10">
        <f>-$C$11/(1+$B$6)^($B$7+1)*EXP(LN(1+$B$6)*ПлатежиАннуитет[[#This Row],[Период (№месяца)]])</f>
        <v>1722.3536775417367</v>
      </c>
      <c r="J50" s="10">
        <f>-$C$11+$C$11*(1+$B$6)^(-$B$7-1)*EXP(LN(1+$B$6)*ПлатежиАннуитет[[#This Row],[Период (№месяца)]])</f>
        <v>656.63933109413824</v>
      </c>
      <c r="K50" s="10">
        <f>-$C$11*(1-1/(1+$B$6)^($B$7-ПлатежиАннуитет[[#This Row],[Период (№месяца)]]+1))</f>
        <v>656.63933109413711</v>
      </c>
    </row>
    <row r="51" spans="1:11" x14ac:dyDescent="0.25">
      <c r="A51" s="3">
        <f>IF(ROW()-ROW(ПлатежиАннуитет[[#Headers],[Период (№месяца)]])&gt;$B$7,0,ROW()-ROW(ПлатежиАннуитет[[#Headers],[Период (№месяца)]]))</f>
        <v>36</v>
      </c>
      <c r="B51" s="4">
        <f>$B$8+SUM($D$15:D50)</f>
        <v>50808.792809989165</v>
      </c>
      <c r="C51" s="4">
        <f t="shared" si="1"/>
        <v>-2378.993008635875</v>
      </c>
      <c r="D51" s="4">
        <f>$C$11/(1+$B$6)^($B$7-ПлатежиАннуитет[[#This Row],[Период (№месяца)]]+1)</f>
        <v>-1743.8830985110098</v>
      </c>
      <c r="E51" s="4">
        <f>-($C$11*((1+$B$6)^(ПлатежиАннуитет[[#This Row],[Период (№месяца)]]-1)-1)/$B$6+$B$8*(1+$B$6)^(ПлатежиАннуитет[[#This Row],[Период (№месяца)]]-1))*$B$6</f>
        <v>-635.10991012486534</v>
      </c>
      <c r="F51" s="4">
        <f>SUM($D$16:D51)</f>
        <v>-50935.090288521846</v>
      </c>
      <c r="G51" s="4">
        <f>ПлатежиАннуитет[[#This Row],[Баланс на начало периода]]+ПлатежиАннуитет[[#This Row],[Тело кредита]]</f>
        <v>49064.909711478154</v>
      </c>
      <c r="H51" s="4"/>
      <c r="I51" s="10">
        <f>-$C$11/(1+$B$6)^($B$7+1)*EXP(LN(1+$B$6)*ПлатежиАннуитет[[#This Row],[Период (№месяца)]])</f>
        <v>1743.8830985110083</v>
      </c>
      <c r="J51" s="10">
        <f>-$C$11+$C$11*(1+$B$6)^(-$B$7-1)*EXP(LN(1+$B$6)*ПлатежиАннуитет[[#This Row],[Период (№месяца)]])</f>
        <v>635.1099101248667</v>
      </c>
      <c r="K51" s="10">
        <f>-$C$11*(1-1/(1+$B$6)^($B$7-ПлатежиАннуитет[[#This Row],[Период (№месяца)]]+1))</f>
        <v>635.109910124865</v>
      </c>
    </row>
    <row r="52" spans="1:11" x14ac:dyDescent="0.25">
      <c r="A52" s="3">
        <f>IF(ROW()-ROW(ПлатежиАннуитет[[#Headers],[Период (№месяца)]])&gt;$B$7,0,ROW()-ROW(ПлатежиАннуитет[[#Headers],[Период (№месяца)]]))</f>
        <v>37</v>
      </c>
      <c r="B52" s="4">
        <f>$B$8+SUM($D$15:D51)</f>
        <v>49064.909711478154</v>
      </c>
      <c r="C52" s="4">
        <f t="shared" si="1"/>
        <v>-2378.993008635875</v>
      </c>
      <c r="D52" s="4">
        <f>$C$11/(1+$B$6)^($B$7-ПлатежиАннуитет[[#This Row],[Период (№месяца)]]+1)</f>
        <v>-1765.6816372423973</v>
      </c>
      <c r="E52" s="4">
        <f>-($C$11*((1+$B$6)^(ПлатежиАннуитет[[#This Row],[Период (№месяца)]]-1)-1)/$B$6+$B$8*(1+$B$6)^(ПлатежиАннуитет[[#This Row],[Период (№месяца)]]-1))*$B$6</f>
        <v>-613.31137139347732</v>
      </c>
      <c r="F52" s="4">
        <f>SUM($D$16:D52)</f>
        <v>-52700.771925764246</v>
      </c>
      <c r="G52" s="4">
        <f>ПлатежиАннуитет[[#This Row],[Баланс на начало периода]]+ПлатежиАннуитет[[#This Row],[Тело кредита]]</f>
        <v>47299.228074235754</v>
      </c>
      <c r="H52" s="4"/>
      <c r="I52" s="10">
        <f>-$C$11/(1+$B$6)^($B$7+1)*EXP(LN(1+$B$6)*ПлатежиАннуитет[[#This Row],[Период (№месяца)]])</f>
        <v>1765.6816372423957</v>
      </c>
      <c r="J52" s="10">
        <f>-$C$11+$C$11*(1+$B$6)^(-$B$7-1)*EXP(LN(1+$B$6)*ПлатежиАннуитет[[#This Row],[Период (№месяца)]])</f>
        <v>613.31137139347925</v>
      </c>
      <c r="K52" s="10">
        <f>-$C$11*(1-1/(1+$B$6)^($B$7-ПлатежиАннуитет[[#This Row],[Период (№месяца)]]+1))</f>
        <v>613.31137139347754</v>
      </c>
    </row>
    <row r="53" spans="1:11" x14ac:dyDescent="0.25">
      <c r="A53" s="3">
        <f>IF(ROW()-ROW(ПлатежиАннуитет[[#Headers],[Период (№месяца)]])&gt;$B$7,0,ROW()-ROW(ПлатежиАннуитет[[#Headers],[Период (№месяца)]]))</f>
        <v>38</v>
      </c>
      <c r="B53" s="4">
        <f>$B$8+SUM($D$15:D52)</f>
        <v>47299.228074235754</v>
      </c>
      <c r="C53" s="4">
        <f t="shared" si="1"/>
        <v>-2378.993008635875</v>
      </c>
      <c r="D53" s="4">
        <f>$C$11/(1+$B$6)^($B$7-ПлатежиАннуитет[[#This Row],[Период (№месяца)]]+1)</f>
        <v>-1787.7526577079275</v>
      </c>
      <c r="E53" s="4">
        <f>-($C$11*((1+$B$6)^(ПлатежиАннуитет[[#This Row],[Период (№месяца)]]-1)-1)/$B$6+$B$8*(1+$B$6)^(ПлатежиАннуитет[[#This Row],[Период (№месяца)]]-1))*$B$6</f>
        <v>-591.24035092794782</v>
      </c>
      <c r="F53" s="4">
        <f>SUM($D$16:D53)</f>
        <v>-54488.524583472172</v>
      </c>
      <c r="G53" s="4">
        <f>ПлатежиАннуитет[[#This Row],[Баланс на начало периода]]+ПлатежиАннуитет[[#This Row],[Тело кредита]]</f>
        <v>45511.475416527828</v>
      </c>
      <c r="H53" s="4"/>
      <c r="I53" s="10">
        <f>-$C$11/(1+$B$6)^($B$7+1)*EXP(LN(1+$B$6)*ПлатежиАннуитет[[#This Row],[Период (№месяца)]])</f>
        <v>1787.7526577079257</v>
      </c>
      <c r="J53" s="10">
        <f>-$C$11+$C$11*(1+$B$6)^(-$B$7-1)*EXP(LN(1+$B$6)*ПлатежиАннуитет[[#This Row],[Период (№месяца)]])</f>
        <v>591.24035092794929</v>
      </c>
      <c r="K53" s="10">
        <f>-$C$11*(1-1/(1+$B$6)^($B$7-ПлатежиАннуитет[[#This Row],[Период (№месяца)]]+1))</f>
        <v>591.24035092794736</v>
      </c>
    </row>
    <row r="54" spans="1:11" x14ac:dyDescent="0.25">
      <c r="A54" s="3">
        <f>IF(ROW()-ROW(ПлатежиАннуитет[[#Headers],[Период (№месяца)]])&gt;$B$7,0,ROW()-ROW(ПлатежиАннуитет[[#Headers],[Период (№месяца)]]))</f>
        <v>39</v>
      </c>
      <c r="B54" s="4">
        <f>$B$8+SUM($D$15:D53)</f>
        <v>45511.475416527828</v>
      </c>
      <c r="C54" s="4">
        <f t="shared" si="1"/>
        <v>-2378.993008635875</v>
      </c>
      <c r="D54" s="4">
        <f>$C$11/(1+$B$6)^($B$7-ПлатежиАннуитет[[#This Row],[Период (№месяца)]]+1)</f>
        <v>-1810.0995659292764</v>
      </c>
      <c r="E54" s="4">
        <f>-($C$11*((1+$B$6)^(ПлатежиАннуитет[[#This Row],[Период (№месяца)]]-1)-1)/$B$6+$B$8*(1+$B$6)^(ПлатежиАннуитет[[#This Row],[Период (№месяца)]]-1))*$B$6</f>
        <v>-568.89344270659831</v>
      </c>
      <c r="F54" s="4">
        <f>SUM($D$16:D54)</f>
        <v>-56298.624149401447</v>
      </c>
      <c r="G54" s="4">
        <f>ПлатежиАннуитет[[#This Row],[Баланс на начало периода]]+ПлатежиАннуитет[[#This Row],[Тело кредита]]</f>
        <v>43701.375850598553</v>
      </c>
      <c r="H54" s="4"/>
      <c r="I54" s="10">
        <f>-$C$11/(1+$B$6)^($B$7+1)*EXP(LN(1+$B$6)*ПлатежиАннуитет[[#This Row],[Период (№месяца)]])</f>
        <v>1810.0995659292746</v>
      </c>
      <c r="J54" s="10">
        <f>-$C$11+$C$11*(1+$B$6)^(-$B$7-1)*EXP(LN(1+$B$6)*ПлатежиАннуитет[[#This Row],[Период (№месяца)]])</f>
        <v>568.89344270660035</v>
      </c>
      <c r="K54" s="10">
        <f>-$C$11*(1-1/(1+$B$6)^($B$7-ПлатежиАннуитет[[#This Row],[Период (№месяца)]]+1))</f>
        <v>568.89344270659831</v>
      </c>
    </row>
    <row r="55" spans="1:11" x14ac:dyDescent="0.25">
      <c r="A55" s="3">
        <f>IF(ROW()-ROW(ПлатежиАннуитет[[#Headers],[Период (№месяца)]])&gt;$B$7,0,ROW()-ROW(ПлатежиАннуитет[[#Headers],[Период (№месяца)]]))</f>
        <v>40</v>
      </c>
      <c r="B55" s="4">
        <f>$B$8+SUM($D$15:D54)</f>
        <v>43701.375850598553</v>
      </c>
      <c r="C55" s="4">
        <f t="shared" si="1"/>
        <v>-2378.993008635875</v>
      </c>
      <c r="D55" s="4">
        <f>$C$11/(1+$B$6)^($B$7-ПлатежиАннуитет[[#This Row],[Период (№месяца)]]+1)</f>
        <v>-1832.7258105033925</v>
      </c>
      <c r="E55" s="4">
        <f>-($C$11*((1+$B$6)^(ПлатежиАннуитет[[#This Row],[Период (№месяца)]]-1)-1)/$B$6+$B$8*(1+$B$6)^(ПлатежиАннуитет[[#This Row],[Период (№месяца)]]-1))*$B$6</f>
        <v>-546.26719813248269</v>
      </c>
      <c r="F55" s="4">
        <f>SUM($D$16:D55)</f>
        <v>-58131.349959904837</v>
      </c>
      <c r="G55" s="4">
        <f>ПлатежиАннуитет[[#This Row],[Баланс на начало периода]]+ПлатежиАннуитет[[#This Row],[Тело кредита]]</f>
        <v>41868.650040095163</v>
      </c>
      <c r="H55" s="4"/>
      <c r="I55" s="10">
        <f>-$C$11/(1+$B$6)^($B$7+1)*EXP(LN(1+$B$6)*ПлатежиАннуитет[[#This Row],[Период (№месяца)]])</f>
        <v>1832.7258105033907</v>
      </c>
      <c r="J55" s="10">
        <f>-$C$11+$C$11*(1+$B$6)^(-$B$7-1)*EXP(LN(1+$B$6)*ПлатежиАннуитет[[#This Row],[Период (№месяца)]])</f>
        <v>546.26719813248428</v>
      </c>
      <c r="K55" s="10">
        <f>-$C$11*(1-1/(1+$B$6)^($B$7-ПлатежиАннуитет[[#This Row],[Период (№месяца)]]+1))</f>
        <v>546.26719813248235</v>
      </c>
    </row>
    <row r="56" spans="1:11" x14ac:dyDescent="0.25">
      <c r="A56" s="3">
        <f>IF(ROW()-ROW(ПлатежиАннуитет[[#Headers],[Период (№месяца)]])&gt;$B$7,0,ROW()-ROW(ПлатежиАннуитет[[#Headers],[Период (№месяца)]]))</f>
        <v>41</v>
      </c>
      <c r="B56" s="4">
        <f>$B$8+SUM($D$15:D55)</f>
        <v>41868.650040095163</v>
      </c>
      <c r="C56" s="4">
        <f t="shared" si="1"/>
        <v>-2378.993008635875</v>
      </c>
      <c r="D56" s="4">
        <f>$C$11/(1+$B$6)^($B$7-ПлатежиАннуитет[[#This Row],[Период (№месяца)]]+1)</f>
        <v>-1855.6348831346847</v>
      </c>
      <c r="E56" s="4">
        <f>-($C$11*((1+$B$6)^(ПлатежиАннуитет[[#This Row],[Период (№месяца)]]-1)-1)/$B$6+$B$8*(1+$B$6)^(ПлатежиАннуитет[[#This Row],[Период (№месяца)]]-1))*$B$6</f>
        <v>-523.35812550118999</v>
      </c>
      <c r="F56" s="4">
        <f>SUM($D$16:D56)</f>
        <v>-59986.984843039521</v>
      </c>
      <c r="G56" s="4">
        <f>ПлатежиАннуитет[[#This Row],[Баланс на начало периода]]+ПлатежиАннуитет[[#This Row],[Тело кредита]]</f>
        <v>40013.015156960479</v>
      </c>
      <c r="H56" s="4"/>
      <c r="I56" s="10">
        <f>-$C$11/(1+$B$6)^($B$7+1)*EXP(LN(1+$B$6)*ПлатежиАннуитет[[#This Row],[Период (№месяца)]])</f>
        <v>1855.6348831346829</v>
      </c>
      <c r="J56" s="10">
        <f>-$C$11+$C$11*(1+$B$6)^(-$B$7-1)*EXP(LN(1+$B$6)*ПлатежиАннуитет[[#This Row],[Период (№месяца)]])</f>
        <v>523.35812550119203</v>
      </c>
      <c r="K56" s="10">
        <f>-$C$11*(1-1/(1+$B$6)^($B$7-ПлатежиАннуитет[[#This Row],[Период (№месяца)]]+1))</f>
        <v>523.35812550119033</v>
      </c>
    </row>
    <row r="57" spans="1:11" x14ac:dyDescent="0.25">
      <c r="A57" s="3">
        <f>IF(ROW()-ROW(ПлатежиАннуитет[[#Headers],[Период (№месяца)]])&gt;$B$7,0,ROW()-ROW(ПлатежиАннуитет[[#Headers],[Период (№месяца)]]))</f>
        <v>42</v>
      </c>
      <c r="B57" s="4">
        <f>$B$8+SUM($D$15:D56)</f>
        <v>40013.015156960479</v>
      </c>
      <c r="C57" s="4">
        <f t="shared" si="1"/>
        <v>-2378.993008635875</v>
      </c>
      <c r="D57" s="4">
        <f>$C$11/(1+$B$6)^($B$7-ПлатежиАннуитет[[#This Row],[Период (№месяца)]]+1)</f>
        <v>-1878.8303191738682</v>
      </c>
      <c r="E57" s="4">
        <f>-($C$11*((1+$B$6)^(ПлатежиАннуитет[[#This Row],[Период (№месяца)]]-1)-1)/$B$6+$B$8*(1+$B$6)^(ПлатежиАннуитет[[#This Row],[Период (№месяца)]]-1))*$B$6</f>
        <v>-500.16268946200631</v>
      </c>
      <c r="F57" s="4">
        <f>SUM($D$16:D57)</f>
        <v>-61865.815162213388</v>
      </c>
      <c r="G57" s="4">
        <f>ПлатежиАннуитет[[#This Row],[Баланс на начало периода]]+ПлатежиАннуитет[[#This Row],[Тело кредита]]</f>
        <v>38134.184837786612</v>
      </c>
      <c r="H57" s="4"/>
      <c r="I57" s="10">
        <f>-$C$11/(1+$B$6)^($B$7+1)*EXP(LN(1+$B$6)*ПлатежиАннуитет[[#This Row],[Период (№месяца)]])</f>
        <v>1878.8303191738662</v>
      </c>
      <c r="J57" s="10">
        <f>-$C$11+$C$11*(1+$B$6)^(-$B$7-1)*EXP(LN(1+$B$6)*ПлатежиАннуитет[[#This Row],[Период (№месяца)]])</f>
        <v>500.16268946200876</v>
      </c>
      <c r="K57" s="10">
        <f>-$C$11*(1-1/(1+$B$6)^($B$7-ПлатежиАннуитет[[#This Row],[Период (№месяца)]]+1))</f>
        <v>500.16268946200665</v>
      </c>
    </row>
    <row r="58" spans="1:11" x14ac:dyDescent="0.25">
      <c r="A58" s="3">
        <f>IF(ROW()-ROW(ПлатежиАннуитет[[#Headers],[Период (№месяца)]])&gt;$B$7,0,ROW()-ROW(ПлатежиАннуитет[[#Headers],[Период (№месяца)]]))</f>
        <v>43</v>
      </c>
      <c r="B58" s="4">
        <f>$B$8+SUM($D$15:D57)</f>
        <v>38134.184837786612</v>
      </c>
      <c r="C58" s="4">
        <f t="shared" si="1"/>
        <v>-2378.993008635875</v>
      </c>
      <c r="D58" s="4">
        <f>$C$11/(1+$B$6)^($B$7-ПлатежиАннуитет[[#This Row],[Период (№месяца)]]+1)</f>
        <v>-1902.3156981635414</v>
      </c>
      <c r="E58" s="4">
        <f>-($C$11*((1+$B$6)^(ПлатежиАннуитет[[#This Row],[Период (№месяца)]]-1)-1)/$B$6+$B$8*(1+$B$6)^(ПлатежиАннуитет[[#This Row],[Период (№месяца)]]-1))*$B$6</f>
        <v>-476.67731047233315</v>
      </c>
      <c r="F58" s="4">
        <f>SUM($D$16:D58)</f>
        <v>-63768.130860376928</v>
      </c>
      <c r="G58" s="4">
        <f>ПлатежиАннуитет[[#This Row],[Баланс на начало периода]]+ПлатежиАннуитет[[#This Row],[Тело кредита]]</f>
        <v>36231.869139623072</v>
      </c>
      <c r="H58" s="4"/>
      <c r="I58" s="10">
        <f>-$C$11/(1+$B$6)^($B$7+1)*EXP(LN(1+$B$6)*ПлатежиАннуитет[[#This Row],[Период (№месяца)]])</f>
        <v>1902.3156981635395</v>
      </c>
      <c r="J58" s="10">
        <f>-$C$11+$C$11*(1+$B$6)^(-$B$7-1)*EXP(LN(1+$B$6)*ПлатежиАннуитет[[#This Row],[Период (№месяца)]])</f>
        <v>476.67731047233542</v>
      </c>
      <c r="K58" s="10">
        <f>-$C$11*(1-1/(1+$B$6)^($B$7-ПлатежиАннуитет[[#This Row],[Период (№месяца)]]+1))</f>
        <v>476.67731047233377</v>
      </c>
    </row>
    <row r="59" spans="1:11" x14ac:dyDescent="0.25">
      <c r="A59" s="3">
        <f>IF(ROW()-ROW(ПлатежиАннуитет[[#Headers],[Период (№месяца)]])&gt;$B$7,0,ROW()-ROW(ПлатежиАннуитет[[#Headers],[Период (№месяца)]]))</f>
        <v>44</v>
      </c>
      <c r="B59" s="4">
        <f>$B$8+SUM($D$15:D58)</f>
        <v>36231.869139623072</v>
      </c>
      <c r="C59" s="4">
        <f t="shared" si="1"/>
        <v>-2378.993008635875</v>
      </c>
      <c r="D59" s="4">
        <f>$C$11/(1+$B$6)^($B$7-ПлатежиАннуитет[[#This Row],[Период (№месяца)]]+1)</f>
        <v>-1926.0946443905857</v>
      </c>
      <c r="E59" s="4">
        <f>-($C$11*((1+$B$6)^(ПлатежиАннуитет[[#This Row],[Период (№месяца)]]-1)-1)/$B$6+$B$8*(1+$B$6)^(ПлатежиАннуитет[[#This Row],[Период (№месяца)]]-1))*$B$6</f>
        <v>-452.89836424528943</v>
      </c>
      <c r="F59" s="4">
        <f>SUM($D$16:D59)</f>
        <v>-65694.225504767513</v>
      </c>
      <c r="G59" s="4">
        <f>ПлатежиАннуитет[[#This Row],[Баланс на начало периода]]+ПлатежиАннуитет[[#This Row],[Тело кредита]]</f>
        <v>34305.774495232487</v>
      </c>
      <c r="H59" s="4"/>
      <c r="I59" s="10">
        <f>-$C$11/(1+$B$6)^($B$7+1)*EXP(LN(1+$B$6)*ПлатежиАннуитет[[#This Row],[Период (№месяца)]])</f>
        <v>1926.0946443905839</v>
      </c>
      <c r="J59" s="10">
        <f>-$C$11+$C$11*(1+$B$6)^(-$B$7-1)*EXP(LN(1+$B$6)*ПлатежиАннуитет[[#This Row],[Период (№месяца)]])</f>
        <v>452.89836424529108</v>
      </c>
      <c r="K59" s="10">
        <f>-$C$11*(1-1/(1+$B$6)^($B$7-ПлатежиАннуитет[[#This Row],[Период (№месяца)]]+1))</f>
        <v>452.89836424528909</v>
      </c>
    </row>
    <row r="60" spans="1:11" x14ac:dyDescent="0.25">
      <c r="A60" s="3">
        <f>IF(ROW()-ROW(ПлатежиАннуитет[[#Headers],[Период (№месяца)]])&gt;$B$7,0,ROW()-ROW(ПлатежиАннуитет[[#Headers],[Период (№месяца)]]))</f>
        <v>45</v>
      </c>
      <c r="B60" s="4">
        <f>$B$8+SUM($D$15:D59)</f>
        <v>34305.774495232487</v>
      </c>
      <c r="C60" s="4">
        <f t="shared" si="1"/>
        <v>-2378.993008635875</v>
      </c>
      <c r="D60" s="4">
        <f>$C$11/(1+$B$6)^($B$7-ПлатежиАннуитет[[#This Row],[Период (№месяца)]]+1)</f>
        <v>-1950.1708274454679</v>
      </c>
      <c r="E60" s="4">
        <f>-($C$11*((1+$B$6)^(ПлатежиАннуитет[[#This Row],[Период (№месяца)]]-1)-1)/$B$6+$B$8*(1+$B$6)^(ПлатежиАннуитет[[#This Row],[Период (№месяца)]]-1))*$B$6</f>
        <v>-428.82218119040658</v>
      </c>
      <c r="F60" s="4">
        <f>SUM($D$16:D60)</f>
        <v>-67644.396332212986</v>
      </c>
      <c r="G60" s="4">
        <f>ПлатежиАннуитет[[#This Row],[Баланс на начало периода]]+ПлатежиАннуитет[[#This Row],[Тело кредита]]</f>
        <v>32355.603667787018</v>
      </c>
      <c r="H60" s="4"/>
      <c r="I60" s="10">
        <f>-$C$11/(1+$B$6)^($B$7+1)*EXP(LN(1+$B$6)*ПлатежиАннуитет[[#This Row],[Период (№месяца)]])</f>
        <v>1950.1708274454659</v>
      </c>
      <c r="J60" s="10">
        <f>-$C$11+$C$11*(1+$B$6)^(-$B$7-1)*EXP(LN(1+$B$6)*ПлатежиАннуитет[[#This Row],[Период (№месяца)]])</f>
        <v>428.82218119040908</v>
      </c>
      <c r="K60" s="10">
        <f>-$C$11*(1-1/(1+$B$6)^($B$7-ПлатежиАннуитет[[#This Row],[Период (№месяца)]]+1))</f>
        <v>428.82218119040692</v>
      </c>
    </row>
    <row r="61" spans="1:11" x14ac:dyDescent="0.25">
      <c r="A61" s="3">
        <f>IF(ROW()-ROW(ПлатежиАннуитет[[#Headers],[Период (№месяца)]])&gt;$B$7,0,ROW()-ROW(ПлатежиАннуитет[[#Headers],[Период (№месяца)]]))</f>
        <v>46</v>
      </c>
      <c r="B61" s="4">
        <f>$B$8+SUM($D$15:D60)</f>
        <v>32355.603667787014</v>
      </c>
      <c r="C61" s="4">
        <f t="shared" si="1"/>
        <v>-2378.993008635875</v>
      </c>
      <c r="D61" s="4">
        <f>$C$11/(1+$B$6)^($B$7-ПлатежиАннуитет[[#This Row],[Период (№месяца)]]+1)</f>
        <v>-1974.5479627885368</v>
      </c>
      <c r="E61" s="4">
        <f>-($C$11*((1+$B$6)^(ПлатежиАннуитет[[#This Row],[Период (№месяца)]]-1)-1)/$B$6+$B$8*(1+$B$6)^(ПлатежиАннуитет[[#This Row],[Период (№месяца)]]-1))*$B$6</f>
        <v>-404.44504584733835</v>
      </c>
      <c r="F61" s="4">
        <f>SUM($D$16:D61)</f>
        <v>-69618.944295001522</v>
      </c>
      <c r="G61" s="4">
        <f>ПлатежиАннуитет[[#This Row],[Баланс на начало периода]]+ПлатежиАннуитет[[#This Row],[Тело кредита]]</f>
        <v>30381.055704998478</v>
      </c>
      <c r="H61" s="4"/>
      <c r="I61" s="10">
        <f>-$C$11/(1+$B$6)^($B$7+1)*EXP(LN(1+$B$6)*ПлатежиАннуитет[[#This Row],[Период (№месяца)]])</f>
        <v>1974.5479627885341</v>
      </c>
      <c r="J61" s="10">
        <f>-$C$11+$C$11*(1+$B$6)^(-$B$7-1)*EXP(LN(1+$B$6)*ПлатежиАннуитет[[#This Row],[Период (№месяца)]])</f>
        <v>404.44504584734091</v>
      </c>
      <c r="K61" s="10">
        <f>-$C$11*(1-1/(1+$B$6)^($B$7-ПлатежиАннуитет[[#This Row],[Период (№месяца)]]+1))</f>
        <v>404.44504584733812</v>
      </c>
    </row>
    <row r="62" spans="1:11" x14ac:dyDescent="0.25">
      <c r="A62" s="3">
        <f>IF(ROW()-ROW(ПлатежиАннуитет[[#Headers],[Период (№месяца)]])&gt;$B$7,0,ROW()-ROW(ПлатежиАннуитет[[#Headers],[Период (№месяца)]]))</f>
        <v>47</v>
      </c>
      <c r="B62" s="4">
        <f>$B$8+SUM($D$15:D61)</f>
        <v>30381.055704998478</v>
      </c>
      <c r="C62" s="4">
        <f t="shared" si="1"/>
        <v>-2378.993008635875</v>
      </c>
      <c r="D62" s="4">
        <f>$C$11/(1+$B$6)^($B$7-ПлатежиАннуитет[[#This Row],[Период (№месяца)]]+1)</f>
        <v>-1999.2298123233929</v>
      </c>
      <c r="E62" s="4">
        <f>-($C$11*((1+$B$6)^(ПлатежиАннуитет[[#This Row],[Период (№месяца)]]-1)-1)/$B$6+$B$8*(1+$B$6)^(ПлатежиАннуитет[[#This Row],[Период (№месяца)]]-1))*$B$6</f>
        <v>-379.76319631248185</v>
      </c>
      <c r="F62" s="4">
        <f>SUM($D$16:D62)</f>
        <v>-71618.174107324914</v>
      </c>
      <c r="G62" s="4">
        <f>ПлатежиАннуитет[[#This Row],[Баланс на начало периода]]+ПлатежиАннуитет[[#This Row],[Тело кредита]]</f>
        <v>28381.825892675086</v>
      </c>
      <c r="H62" s="4"/>
      <c r="I62" s="10">
        <f>-$C$11/(1+$B$6)^($B$7+1)*EXP(LN(1+$B$6)*ПлатежиАннуитет[[#This Row],[Период (№месяца)]])</f>
        <v>1999.2298123233909</v>
      </c>
      <c r="J62" s="10">
        <f>-$C$11+$C$11*(1+$B$6)^(-$B$7-1)*EXP(LN(1+$B$6)*ПлатежиАннуитет[[#This Row],[Период (№месяца)]])</f>
        <v>379.76319631248407</v>
      </c>
      <c r="K62" s="10">
        <f>-$C$11*(1-1/(1+$B$6)^($B$7-ПлатежиАннуитет[[#This Row],[Период (№месяца)]]+1))</f>
        <v>379.76319631248191</v>
      </c>
    </row>
    <row r="63" spans="1:11" x14ac:dyDescent="0.25">
      <c r="A63" s="3">
        <f>IF(ROW()-ROW(ПлатежиАннуитет[[#Headers],[Период (№месяца)]])&gt;$B$7,0,ROW()-ROW(ПлатежиАннуитет[[#Headers],[Период (№месяца)]]))</f>
        <v>48</v>
      </c>
      <c r="B63" s="4">
        <f>$B$8+SUM($D$15:D62)</f>
        <v>28381.825892675086</v>
      </c>
      <c r="C63" s="4">
        <f t="shared" si="1"/>
        <v>-2378.993008635875</v>
      </c>
      <c r="D63" s="4">
        <f>$C$11/(1+$B$6)^($B$7-ПлатежиАннуитет[[#This Row],[Период (№месяца)]]+1)</f>
        <v>-2024.2201849774358</v>
      </c>
      <c r="E63" s="4">
        <f>-($C$11*((1+$B$6)^(ПлатежиАннуитет[[#This Row],[Период (№месяца)]]-1)-1)/$B$6+$B$8*(1+$B$6)^(ПлатежиАннуитет[[#This Row],[Период (№месяца)]]-1))*$B$6</f>
        <v>-354.77282365843962</v>
      </c>
      <c r="F63" s="4">
        <f>SUM($D$16:D63)</f>
        <v>-73642.394292302357</v>
      </c>
      <c r="G63" s="4">
        <f>ПлатежиАннуитет[[#This Row],[Баланс на начало периода]]+ПлатежиАннуитет[[#This Row],[Тело кредита]]</f>
        <v>26357.60570769765</v>
      </c>
      <c r="H63" s="4"/>
      <c r="I63" s="10">
        <f>-$C$11/(1+$B$6)^($B$7+1)*EXP(LN(1+$B$6)*ПлатежиАннуитет[[#This Row],[Период (№месяца)]])</f>
        <v>2024.2201849774331</v>
      </c>
      <c r="J63" s="10">
        <f>-$C$11+$C$11*(1+$B$6)^(-$B$7-1)*EXP(LN(1+$B$6)*ПлатежиАннуитет[[#This Row],[Период (№месяца)]])</f>
        <v>354.77282365844189</v>
      </c>
      <c r="K63" s="10">
        <f>-$C$11*(1-1/(1+$B$6)^($B$7-ПлатежиАннуитет[[#This Row],[Период (№месяца)]]+1))</f>
        <v>354.77282365843911</v>
      </c>
    </row>
    <row r="64" spans="1:11" x14ac:dyDescent="0.25">
      <c r="A64" s="3">
        <f>IF(ROW()-ROW(ПлатежиАннуитет[[#Headers],[Период (№месяца)]])&gt;$B$7,0,ROW()-ROW(ПлатежиАннуитет[[#Headers],[Период (№месяца)]]))</f>
        <v>49</v>
      </c>
      <c r="B64" s="4">
        <f>$B$8+SUM($D$15:D63)</f>
        <v>26357.605707697643</v>
      </c>
      <c r="C64" s="4">
        <f t="shared" si="1"/>
        <v>-2378.993008635875</v>
      </c>
      <c r="D64" s="4">
        <f>$C$11/(1+$B$6)^($B$7-ПлатежиАннуитет[[#This Row],[Период (№месяца)]]+1)</f>
        <v>-2049.5229372896533</v>
      </c>
      <c r="E64" s="4">
        <f>-($C$11*((1+$B$6)^(ПлатежиАннуитет[[#This Row],[Период (№месяца)]]-1)-1)/$B$6+$B$8*(1+$B$6)^(ПлатежиАннуитет[[#This Row],[Период (№месяца)]]-1))*$B$6</f>
        <v>-329.4700713462214</v>
      </c>
      <c r="F64" s="4">
        <f>SUM($D$16:D64)</f>
        <v>-75691.917229592014</v>
      </c>
      <c r="G64" s="4">
        <f>ПлатежиАннуитет[[#This Row],[Баланс на начало периода]]+ПлатежиАннуитет[[#This Row],[Тело кредита]]</f>
        <v>24308.082770407989</v>
      </c>
      <c r="H64" s="4"/>
      <c r="I64" s="10">
        <f>-$C$11/(1+$B$6)^($B$7+1)*EXP(LN(1+$B$6)*ПлатежиАннуитет[[#This Row],[Период (№месяца)]])</f>
        <v>2049.5229372896511</v>
      </c>
      <c r="J64" s="10">
        <f>-$C$11+$C$11*(1+$B$6)^(-$B$7-1)*EXP(LN(1+$B$6)*ПлатежиАннуитет[[#This Row],[Период (№месяца)]])</f>
        <v>329.4700713462239</v>
      </c>
      <c r="K64" s="10">
        <f>-$C$11*(1-1/(1+$B$6)^($B$7-ПлатежиАннуитет[[#This Row],[Период (№месяца)]]+1))</f>
        <v>329.47007134622169</v>
      </c>
    </row>
    <row r="65" spans="1:11" x14ac:dyDescent="0.25">
      <c r="A65" s="3">
        <f>IF(ROW()-ROW(ПлатежиАннуитет[[#Headers],[Период (№месяца)]])&gt;$B$7,0,ROW()-ROW(ПлатежиАннуитет[[#Headers],[Период (№месяца)]]))</f>
        <v>50</v>
      </c>
      <c r="B65" s="4">
        <f>$B$8+SUM($D$15:D64)</f>
        <v>24308.082770407986</v>
      </c>
      <c r="C65" s="4">
        <f t="shared" si="1"/>
        <v>-2378.993008635875</v>
      </c>
      <c r="D65" s="4">
        <f>$C$11/(1+$B$6)^($B$7-ПлатежиАннуитет[[#This Row],[Период (№месяца)]]+1)</f>
        <v>-2075.1419740057745</v>
      </c>
      <c r="E65" s="4">
        <f>-($C$11*((1+$B$6)^(ПлатежиАннуитет[[#This Row],[Период (№месяца)]]-1)-1)/$B$6+$B$8*(1+$B$6)^(ПлатежиАннуитет[[#This Row],[Период (№месяца)]]-1))*$B$6</f>
        <v>-303.85103463010091</v>
      </c>
      <c r="F65" s="4">
        <f>SUM($D$16:D65)</f>
        <v>-77767.05920359779</v>
      </c>
      <c r="G65" s="4">
        <f>ПлатежиАннуитет[[#This Row],[Баланс на начало периода]]+ПлатежиАннуитет[[#This Row],[Тело кредита]]</f>
        <v>22232.94079640221</v>
      </c>
      <c r="H65" s="4"/>
      <c r="I65" s="10">
        <f>-$C$11/(1+$B$6)^($B$7+1)*EXP(LN(1+$B$6)*ПлатежиАннуитет[[#This Row],[Период (№месяца)]])</f>
        <v>2075.1419740057718</v>
      </c>
      <c r="J65" s="10">
        <f>-$C$11+$C$11*(1+$B$6)^(-$B$7-1)*EXP(LN(1+$B$6)*ПлатежиАннуитет[[#This Row],[Период (№месяца)]])</f>
        <v>303.85103463010319</v>
      </c>
      <c r="K65" s="10">
        <f>-$C$11*(1-1/(1+$B$6)^($B$7-ПлатежиАннуитет[[#This Row],[Период (№месяца)]]+1))</f>
        <v>303.85103463010063</v>
      </c>
    </row>
    <row r="66" spans="1:11" x14ac:dyDescent="0.25">
      <c r="A66" s="3">
        <f>IF(ROW()-ROW(ПлатежиАннуитет[[#Headers],[Период (№месяца)]])&gt;$B$7,0,ROW()-ROW(ПлатежиАннуитет[[#Headers],[Период (№месяца)]]))</f>
        <v>51</v>
      </c>
      <c r="B66" s="4">
        <f>$B$8+SUM($D$15:D65)</f>
        <v>22232.94079640221</v>
      </c>
      <c r="C66" s="4">
        <f t="shared" si="1"/>
        <v>-2378.993008635875</v>
      </c>
      <c r="D66" s="4">
        <f>$C$11/(1+$B$6)^($B$7-ПлатежиАннуитет[[#This Row],[Период (№месяца)]]+1)</f>
        <v>-2101.0812486808459</v>
      </c>
      <c r="E66" s="4">
        <f>-($C$11*((1+$B$6)^(ПлатежиАннуитет[[#This Row],[Период (№месяца)]]-1)-1)/$B$6+$B$8*(1+$B$6)^(ПлатежиАннуитет[[#This Row],[Период (№месяца)]]-1))*$B$6</f>
        <v>-277.91175995502817</v>
      </c>
      <c r="F66" s="4">
        <f>SUM($D$16:D66)</f>
        <v>-79868.140452278632</v>
      </c>
      <c r="G66" s="4">
        <f>ПлатежиАннуитет[[#This Row],[Баланс на начало периода]]+ПлатежиАннуитет[[#This Row],[Тело кредита]]</f>
        <v>20131.859547721364</v>
      </c>
      <c r="H66" s="4"/>
      <c r="I66" s="10">
        <f>-$C$11/(1+$B$6)^($B$7+1)*EXP(LN(1+$B$6)*ПлатежиАннуитет[[#This Row],[Период (№месяца)]])</f>
        <v>2101.0812486808431</v>
      </c>
      <c r="J66" s="10">
        <f>-$C$11+$C$11*(1+$B$6)^(-$B$7-1)*EXP(LN(1+$B$6)*ПлатежиАннуитет[[#This Row],[Период (№месяца)]])</f>
        <v>277.91175995503181</v>
      </c>
      <c r="K66" s="10">
        <f>-$C$11*(1-1/(1+$B$6)^($B$7-ПлатежиАннуитет[[#This Row],[Период (№месяца)]]+1))</f>
        <v>277.91175995502908</v>
      </c>
    </row>
    <row r="67" spans="1:11" x14ac:dyDescent="0.25">
      <c r="A67" s="3">
        <f>IF(ROW()-ROW(ПлатежиАннуитет[[#Headers],[Период (№месяца)]])&gt;$B$7,0,ROW()-ROW(ПлатежиАннуитет[[#Headers],[Период (№месяца)]]))</f>
        <v>52</v>
      </c>
      <c r="B67" s="4">
        <f>$B$8+SUM($D$15:D66)</f>
        <v>20131.859547721368</v>
      </c>
      <c r="C67" s="4">
        <f t="shared" si="1"/>
        <v>-2378.993008635875</v>
      </c>
      <c r="D67" s="4">
        <f>$C$11/(1+$B$6)^($B$7-ПлатежиАннуитет[[#This Row],[Период (№месяца)]]+1)</f>
        <v>-2127.3447642893566</v>
      </c>
      <c r="E67" s="4">
        <f>-($C$11*((1+$B$6)^(ПлатежиАннуитет[[#This Row],[Период (№месяца)]]-1)-1)/$B$6+$B$8*(1+$B$6)^(ПлатежиАннуитет[[#This Row],[Период (№месяца)]]-1))*$B$6</f>
        <v>-251.64824434651817</v>
      </c>
      <c r="F67" s="4">
        <f>SUM($D$16:D67)</f>
        <v>-81995.485216567991</v>
      </c>
      <c r="G67" s="4">
        <f>ПлатежиАннуитет[[#This Row],[Баланс на начало периода]]+ПлатежиАннуитет[[#This Row],[Тело кредита]]</f>
        <v>18004.514783432012</v>
      </c>
      <c r="H67" s="4"/>
      <c r="I67" s="10">
        <f>-$C$11/(1+$B$6)^($B$7+1)*EXP(LN(1+$B$6)*ПлатежиАннуитет[[#This Row],[Период (№месяца)]])</f>
        <v>2127.3447642893539</v>
      </c>
      <c r="J67" s="10">
        <f>-$C$11+$C$11*(1+$B$6)^(-$B$7-1)*EXP(LN(1+$B$6)*ПлатежиАннуитет[[#This Row],[Период (№месяца)]])</f>
        <v>251.6482443465211</v>
      </c>
      <c r="K67" s="10">
        <f>-$C$11*(1-1/(1+$B$6)^($B$7-ПлатежиАннуитет[[#This Row],[Период (№месяца)]]+1))</f>
        <v>251.64824434651811</v>
      </c>
    </row>
    <row r="68" spans="1:11" x14ac:dyDescent="0.25">
      <c r="A68" s="3">
        <f>IF(ROW()-ROW(ПлатежиАннуитет[[#Headers],[Период (№месяца)]])&gt;$B$7,0,ROW()-ROW(ПлатежиАннуитет[[#Headers],[Период (№месяца)]]))</f>
        <v>53</v>
      </c>
      <c r="B68" s="4">
        <f>$B$8+SUM($D$15:D67)</f>
        <v>18004.514783432009</v>
      </c>
      <c r="C68" s="4">
        <f t="shared" si="1"/>
        <v>-2378.993008635875</v>
      </c>
      <c r="D68" s="4">
        <f>$C$11/(1+$B$6)^($B$7-ПлатежиАннуитет[[#This Row],[Период (№месяца)]]+1)</f>
        <v>-2153.9365738429738</v>
      </c>
      <c r="E68" s="4">
        <f>-($C$11*((1+$B$6)^(ПлатежиАннуитет[[#This Row],[Период (№месяца)]]-1)-1)/$B$6+$B$8*(1+$B$6)^(ПлатежиАннуитет[[#This Row],[Период (№месяца)]]-1))*$B$6</f>
        <v>-225.05643479290083</v>
      </c>
      <c r="F68" s="4">
        <f>SUM($D$16:D68)</f>
        <v>-84149.421790410968</v>
      </c>
      <c r="G68" s="4">
        <f>ПлатежиАннуитет[[#This Row],[Баланс на начало периода]]+ПлатежиАннуитет[[#This Row],[Тело кредита]]</f>
        <v>15850.578209589035</v>
      </c>
      <c r="H68" s="4"/>
      <c r="I68" s="10">
        <f>-$C$11/(1+$B$6)^($B$7+1)*EXP(LN(1+$B$6)*ПлатежиАннуитет[[#This Row],[Период (№месяца)]])</f>
        <v>2153.9365738429706</v>
      </c>
      <c r="J68" s="10">
        <f>-$C$11+$C$11*(1+$B$6)^(-$B$7-1)*EXP(LN(1+$B$6)*ПлатежиАннуитет[[#This Row],[Период (№месяца)]])</f>
        <v>225.05643479290438</v>
      </c>
      <c r="K68" s="10">
        <f>-$C$11*(1-1/(1+$B$6)^($B$7-ПлатежиАннуитет[[#This Row],[Период (№месяца)]]+1))</f>
        <v>225.05643479290137</v>
      </c>
    </row>
    <row r="69" spans="1:11" x14ac:dyDescent="0.25">
      <c r="A69" s="3">
        <f>IF(ROW()-ROW(ПлатежиАннуитет[[#Headers],[Период (№месяца)]])&gt;$B$7,0,ROW()-ROW(ПлатежиАннуитет[[#Headers],[Период (№месяца)]]))</f>
        <v>54</v>
      </c>
      <c r="B69" s="4">
        <f>$B$8+SUM($D$15:D68)</f>
        <v>15850.578209589032</v>
      </c>
      <c r="C69" s="4">
        <f t="shared" si="1"/>
        <v>-2378.993008635875</v>
      </c>
      <c r="D69" s="4">
        <f>$C$11/(1+$B$6)^($B$7-ПлатежиАннуитет[[#This Row],[Период (№месяца)]]+1)</f>
        <v>-2180.8607810160111</v>
      </c>
      <c r="E69" s="4">
        <f>-($C$11*((1+$B$6)^(ПлатежиАннуитет[[#This Row],[Период (№месяца)]]-1)-1)/$B$6+$B$8*(1+$B$6)^(ПлатежиАннуитет[[#This Row],[Период (№месяца)]]-1))*$B$6</f>
        <v>-198.13222761986398</v>
      </c>
      <c r="F69" s="4">
        <f>SUM($D$16:D69)</f>
        <v>-86330.282571426986</v>
      </c>
      <c r="G69" s="4">
        <f>ПлатежиАннуитет[[#This Row],[Баланс на начало периода]]+ПлатежиАннуитет[[#This Row],[Тело кредита]]</f>
        <v>13669.717428573022</v>
      </c>
      <c r="H69" s="4"/>
      <c r="I69" s="10">
        <f>-$C$11/(1+$B$6)^($B$7+1)*EXP(LN(1+$B$6)*ПлатежиАннуитет[[#This Row],[Период (№месяца)]])</f>
        <v>2180.8607810160079</v>
      </c>
      <c r="J69" s="10">
        <f>-$C$11+$C$11*(1+$B$6)^(-$B$7-1)*EXP(LN(1+$B$6)*ПлатежиАннуитет[[#This Row],[Период (№месяца)]])</f>
        <v>198.13222761986708</v>
      </c>
      <c r="K69" s="10">
        <f>-$C$11*(1-1/(1+$B$6)^($B$7-ПлатежиАннуитет[[#This Row],[Период (№месяца)]]+1))</f>
        <v>198.1322276198637</v>
      </c>
    </row>
    <row r="70" spans="1:11" x14ac:dyDescent="0.25">
      <c r="A70" s="3">
        <f>IF(ROW()-ROW(ПлатежиАннуитет[[#Headers],[Период (№месяца)]])&gt;$B$7,0,ROW()-ROW(ПлатежиАннуитет[[#Headers],[Период (№месяца)]]))</f>
        <v>55</v>
      </c>
      <c r="B70" s="4">
        <f>$B$8+SUM($D$15:D69)</f>
        <v>13669.717428573014</v>
      </c>
      <c r="C70" s="4">
        <f t="shared" si="1"/>
        <v>-2378.993008635875</v>
      </c>
      <c r="D70" s="4">
        <f>$C$11/(1+$B$6)^($B$7-ПлатежиАннуитет[[#This Row],[Период (№месяца)]]+1)</f>
        <v>-2208.1215407787108</v>
      </c>
      <c r="E70" s="4">
        <f>-($C$11*((1+$B$6)^(ПлатежиАннуитет[[#This Row],[Период (№месяца)]]-1)-1)/$B$6+$B$8*(1+$B$6)^(ПлатежиАннуитет[[#This Row],[Период (№месяца)]]-1))*$B$6</f>
        <v>-170.87146785716394</v>
      </c>
      <c r="F70" s="4">
        <f>SUM($D$16:D70)</f>
        <v>-88538.404112205695</v>
      </c>
      <c r="G70" s="4">
        <f>ПлатежиАннуитет[[#This Row],[Баланс на начало периода]]+ПлатежиАннуитет[[#This Row],[Тело кредита]]</f>
        <v>11461.595887794303</v>
      </c>
      <c r="H70" s="4"/>
      <c r="I70" s="10">
        <f>-$C$11/(1+$B$6)^($B$7+1)*EXP(LN(1+$B$6)*ПлатежиАннуитет[[#This Row],[Период (№месяца)]])</f>
        <v>2208.1215407787076</v>
      </c>
      <c r="J70" s="10">
        <f>-$C$11+$C$11*(1+$B$6)^(-$B$7-1)*EXP(LN(1+$B$6)*ПлатежиАннуитет[[#This Row],[Период (№месяца)]])</f>
        <v>170.87146785716732</v>
      </c>
      <c r="K70" s="10">
        <f>-$C$11*(1-1/(1+$B$6)^($B$7-ПлатежиАннуитет[[#This Row],[Период (№месяца)]]+1))</f>
        <v>170.87146785716399</v>
      </c>
    </row>
    <row r="71" spans="1:11" x14ac:dyDescent="0.25">
      <c r="A71" s="3">
        <f>IF(ROW()-ROW(ПлатежиАннуитет[[#Headers],[Период (№месяца)]])&gt;$B$7,0,ROW()-ROW(ПлатежиАннуитет[[#Headers],[Период (№месяца)]]))</f>
        <v>56</v>
      </c>
      <c r="B71" s="4">
        <f>$B$8+SUM($D$15:D70)</f>
        <v>11461.595887794305</v>
      </c>
      <c r="C71" s="4">
        <f t="shared" si="1"/>
        <v>-2378.993008635875</v>
      </c>
      <c r="D71" s="4">
        <f>$C$11/(1+$B$6)^($B$7-ПлатежиАннуитет[[#This Row],[Период (№месяца)]]+1)</f>
        <v>-2235.7230600384451</v>
      </c>
      <c r="E71" s="4">
        <f>-($C$11*((1+$B$6)^(ПлатежиАннуитет[[#This Row],[Период (№месяца)]]-1)-1)/$B$6+$B$8*(1+$B$6)^(ПлатежиАннуитет[[#This Row],[Период (№месяца)]]-1))*$B$6</f>
        <v>-143.26994859743024</v>
      </c>
      <c r="F71" s="4">
        <f>SUM($D$16:D71)</f>
        <v>-90774.127172244145</v>
      </c>
      <c r="G71" s="4">
        <f>ПлатежиАннуитет[[#This Row],[Баланс на начало периода]]+ПлатежиАннуитет[[#This Row],[Тело кредита]]</f>
        <v>9225.8728277558603</v>
      </c>
      <c r="H71" s="4"/>
      <c r="I71" s="10">
        <f>-$C$11/(1+$B$6)^($B$7+1)*EXP(LN(1+$B$6)*ПлатежиАннуитет[[#This Row],[Период (№месяца)]])</f>
        <v>2235.7230600384414</v>
      </c>
      <c r="J71" s="10">
        <f>-$C$11+$C$11*(1+$B$6)^(-$B$7-1)*EXP(LN(1+$B$6)*ПлатежиАннуитет[[#This Row],[Период (№месяца)]])</f>
        <v>143.26994859743354</v>
      </c>
      <c r="K71" s="10">
        <f>-$C$11*(1-1/(1+$B$6)^($B$7-ПлатежиАннуитет[[#This Row],[Период (№месяца)]]+1))</f>
        <v>143.2699485974299</v>
      </c>
    </row>
    <row r="72" spans="1:11" x14ac:dyDescent="0.25">
      <c r="A72" s="3">
        <f>IF(ROW()-ROW(ПлатежиАннуитет[[#Headers],[Период (№месяца)]])&gt;$B$7,0,ROW()-ROW(ПлатежиАннуитет[[#Headers],[Период (№месяца)]]))</f>
        <v>57</v>
      </c>
      <c r="B72" s="4">
        <f>$B$8+SUM($D$15:D71)</f>
        <v>9225.8728277558548</v>
      </c>
      <c r="C72" s="4">
        <f t="shared" si="1"/>
        <v>-2378.993008635875</v>
      </c>
      <c r="D72" s="4">
        <f>$C$11/(1+$B$6)^($B$7-ПлатежиАннуитет[[#This Row],[Период (№месяца)]]+1)</f>
        <v>-2263.669598288925</v>
      </c>
      <c r="E72" s="4">
        <f>-($C$11*((1+$B$6)^(ПлатежиАннуитет[[#This Row],[Период (№месяца)]]-1)-1)/$B$6+$B$8*(1+$B$6)^(ПлатежиАннуитет[[#This Row],[Период (№месяца)]]-1))*$B$6</f>
        <v>-115.32341034694981</v>
      </c>
      <c r="F72" s="4">
        <f>SUM($D$16:D72)</f>
        <v>-93037.796770533067</v>
      </c>
      <c r="G72" s="4">
        <f>ПлатежиАннуитет[[#This Row],[Баланс на начало периода]]+ПлатежиАннуитет[[#This Row],[Тело кредита]]</f>
        <v>6962.2032294669298</v>
      </c>
      <c r="H72" s="4"/>
      <c r="I72" s="10">
        <f>-$C$11/(1+$B$6)^($B$7+1)*EXP(LN(1+$B$6)*ПлатежиАннуитет[[#This Row],[Период (№месяца)]])</f>
        <v>2263.6695982889219</v>
      </c>
      <c r="J72" s="10">
        <f>-$C$11+$C$11*(1+$B$6)^(-$B$7-1)*EXP(LN(1+$B$6)*ПлатежиАннуитет[[#This Row],[Период (№месяца)]])</f>
        <v>115.3234103469531</v>
      </c>
      <c r="K72" s="10">
        <f>-$C$11*(1-1/(1+$B$6)^($B$7-ПлатежиАннуитет[[#This Row],[Период (№месяца)]]+1))</f>
        <v>115.32341034694959</v>
      </c>
    </row>
    <row r="73" spans="1:11" x14ac:dyDescent="0.25">
      <c r="A73" s="3">
        <f>IF(ROW()-ROW(ПлатежиАннуитет[[#Headers],[Период (№месяца)]])&gt;$B$7,0,ROW()-ROW(ПлатежиАннуитет[[#Headers],[Период (№месяца)]]))</f>
        <v>58</v>
      </c>
      <c r="B73" s="4">
        <f>$B$8+SUM($D$15:D72)</f>
        <v>6962.2032294669334</v>
      </c>
      <c r="C73" s="4">
        <f t="shared" si="1"/>
        <v>-2378.993008635875</v>
      </c>
      <c r="D73" s="4">
        <f>$C$11/(1+$B$6)^($B$7-ПлатежиАннуитет[[#This Row],[Период (№месяца)]]+1)</f>
        <v>-2291.9654682675373</v>
      </c>
      <c r="E73" s="4">
        <f>-($C$11*((1+$B$6)^(ПлатежиАннуитет[[#This Row],[Период (№месяца)]]-1)-1)/$B$6+$B$8*(1+$B$6)^(ПлатежиАннуитет[[#This Row],[Период (№месяца)]]-1))*$B$6</f>
        <v>-87.027540368338293</v>
      </c>
      <c r="F73" s="4">
        <f>SUM($D$16:D73)</f>
        <v>-95329.762238800598</v>
      </c>
      <c r="G73" s="4">
        <f>ПлатежиАннуитет[[#This Row],[Баланс на начало периода]]+ПлатежиАннуитет[[#This Row],[Тело кредита]]</f>
        <v>4670.2377611993961</v>
      </c>
      <c r="H73" s="4"/>
      <c r="I73" s="10">
        <f>-$C$11/(1+$B$6)^($B$7+1)*EXP(LN(1+$B$6)*ПлатежиАннуитет[[#This Row],[Период (№месяца)]])</f>
        <v>2291.9654682675332</v>
      </c>
      <c r="J73" s="10">
        <f>-$C$11+$C$11*(1+$B$6)^(-$B$7-1)*EXP(LN(1+$B$6)*ПлатежиАннуитет[[#This Row],[Период (№месяца)]])</f>
        <v>87.027540368341761</v>
      </c>
      <c r="K73" s="10">
        <f>-$C$11*(1-1/(1+$B$6)^($B$7-ПлатежиАннуитет[[#This Row],[Период (№месяца)]]+1))</f>
        <v>87.027540368337966</v>
      </c>
    </row>
    <row r="74" spans="1:11" x14ac:dyDescent="0.25">
      <c r="A74" s="3">
        <f>IF(ROW()-ROW(ПлатежиАннуитет[[#Headers],[Период (№месяца)]])&gt;$B$7,0,ROW()-ROW(ПлатежиАннуитет[[#Headers],[Период (№месяца)]]))</f>
        <v>59</v>
      </c>
      <c r="B74" s="4">
        <f>$B$8+SUM($D$15:D73)</f>
        <v>4670.2377611994016</v>
      </c>
      <c r="C74" s="4">
        <f t="shared" si="1"/>
        <v>-2378.993008635875</v>
      </c>
      <c r="D74" s="4">
        <f>$C$11/(1+$B$6)^($B$7-ПлатежиАннуитет[[#This Row],[Период (№месяца)]]+1)</f>
        <v>-2320.6150366208808</v>
      </c>
      <c r="E74" s="4">
        <f>-($C$11*((1+$B$6)^(ПлатежиАннуитет[[#This Row],[Период (№месяца)]]-1)-1)/$B$6+$B$8*(1+$B$6)^(ПлатежиАннуитет[[#This Row],[Период (№месяца)]]-1))*$B$6</f>
        <v>-58.377972014993425</v>
      </c>
      <c r="F74" s="4">
        <f>SUM($D$16:D74)</f>
        <v>-97650.377275421473</v>
      </c>
      <c r="G74" s="4">
        <f>ПлатежиАннуитет[[#This Row],[Баланс на начало периода]]+ПлатежиАннуитет[[#This Row],[Тело кредита]]</f>
        <v>2349.6227245785208</v>
      </c>
      <c r="H74" s="4"/>
      <c r="I74" s="10">
        <f>-$C$11/(1+$B$6)^($B$7+1)*EXP(LN(1+$B$6)*ПлатежиАннуитет[[#This Row],[Период (№месяца)]])</f>
        <v>2320.6150366208776</v>
      </c>
      <c r="J74" s="10">
        <f>-$C$11+$C$11*(1+$B$6)^(-$B$7-1)*EXP(LN(1+$B$6)*ПлатежиАннуитет[[#This Row],[Период (№месяца)]])</f>
        <v>58.37797201499734</v>
      </c>
      <c r="K74" s="10">
        <f>-$C$11*(1-1/(1+$B$6)^($B$7-ПлатежиАннуитет[[#This Row],[Период (№месяца)]]+1))</f>
        <v>58.377972014993929</v>
      </c>
    </row>
    <row r="75" spans="1:11" x14ac:dyDescent="0.25">
      <c r="A75" s="3">
        <f>IF(ROW()-ROW(ПлатежиАннуитет[[#Headers],[Период (№месяца)]])&gt;$B$7,0,ROW()-ROW(ПлатежиАннуитет[[#Headers],[Период (№месяца)]]))</f>
        <v>60</v>
      </c>
      <c r="B75" s="4">
        <f>$B$8+SUM($D$15:D74)</f>
        <v>2349.6227245785267</v>
      </c>
      <c r="C75" s="4">
        <f t="shared" si="1"/>
        <v>-2378.993008635875</v>
      </c>
      <c r="D75" s="4">
        <f>$C$11/(1+$B$6)^($B$7-ПлатежиАннуитет[[#This Row],[Период (№месяца)]]+1)</f>
        <v>-2349.6227245786422</v>
      </c>
      <c r="E75" s="4">
        <f>-($C$11*((1+$B$6)^(ПлатежиАннуитет[[#This Row],[Период (№месяца)]]-1)-1)/$B$6+$B$8*(1+$B$6)^(ПлатежиАннуитет[[#This Row],[Период (№месяца)]]-1))*$B$6</f>
        <v>-29.370284057233217</v>
      </c>
      <c r="F75" s="4">
        <f>SUM($D$16:D75)</f>
        <v>-100000.00000000012</v>
      </c>
      <c r="G75" s="4">
        <f>ПлатежиАннуитет[[#This Row],[Баланс на начало периода]]+ПлатежиАннуитет[[#This Row],[Тело кредита]]</f>
        <v>-1.1550582712516189E-10</v>
      </c>
      <c r="H75" s="4"/>
      <c r="I75" s="10">
        <f>-$C$11/(1+$B$6)^($B$7+1)*EXP(LN(1+$B$6)*ПлатежиАннуитет[[#This Row],[Период (№месяца)]])</f>
        <v>2349.6227245786386</v>
      </c>
      <c r="J75" s="10">
        <f>-$C$11+$C$11*(1+$B$6)^(-$B$7-1)*EXP(LN(1+$B$6)*ПлатежиАннуитет[[#This Row],[Период (№месяца)]])</f>
        <v>29.370284057236404</v>
      </c>
      <c r="K75" s="10">
        <f>-$C$11*(1-1/(1+$B$6)^($B$7-ПлатежиАннуитет[[#This Row],[Период (№месяца)]]+1))</f>
        <v>29.37028405723289</v>
      </c>
    </row>
    <row r="76" spans="1:11" x14ac:dyDescent="0.25">
      <c r="A76" t="s">
        <v>37</v>
      </c>
      <c r="C76" s="4">
        <f>SUBTOTAL(109,ПлатежиАннуитет[Платеж])</f>
        <v>-142739.58051815262</v>
      </c>
      <c r="D76" s="4">
        <f>SUBTOTAL(109,ПлатежиАннуитет[Тело кредита])</f>
        <v>-100000.00000000012</v>
      </c>
      <c r="E76" s="4">
        <f>SUBTOTAL(109,ПлатежиАннуитет[Процент])</f>
        <v>-42739.580518152368</v>
      </c>
      <c r="F76" s="4"/>
      <c r="G76" s="4"/>
    </row>
  </sheetData>
  <hyperlinks>
    <hyperlink ref="A1:E1" r:id="rId1" display="Файл скачан с сайта excel2.ru &gt;&gt;&gt;"/>
    <hyperlink ref="A2" r:id="rId2"/>
  </hyperlinks>
  <pageMargins left="0.7" right="0.7" top="0.75" bottom="0.75" header="0.3" footer="0.3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50"/>
  <sheetViews>
    <sheetView zoomScale="85" zoomScaleNormal="85" workbookViewId="0">
      <selection activeCell="G15" sqref="G15"/>
    </sheetView>
  </sheetViews>
  <sheetFormatPr defaultRowHeight="15" x14ac:dyDescent="0.25"/>
  <cols>
    <col min="1" max="1" width="19.5703125" customWidth="1"/>
    <col min="2" max="2" width="11.42578125" bestFit="1" customWidth="1"/>
    <col min="3" max="3" width="14.7109375" customWidth="1"/>
    <col min="4" max="4" width="18.28515625" customWidth="1"/>
    <col min="5" max="5" width="18" bestFit="1" customWidth="1"/>
    <col min="6" max="6" width="16.85546875" customWidth="1"/>
    <col min="7" max="7" width="22.140625" customWidth="1"/>
  </cols>
  <sheetData>
    <row r="1" spans="1:7" x14ac:dyDescent="0.25">
      <c r="A1" s="1" t="s">
        <v>99</v>
      </c>
    </row>
    <row r="3" spans="1:7" x14ac:dyDescent="0.25">
      <c r="A3" s="11" t="s">
        <v>22</v>
      </c>
      <c r="B3" s="11" t="s">
        <v>23</v>
      </c>
      <c r="C3" s="11" t="s">
        <v>24</v>
      </c>
      <c r="D3" s="11"/>
    </row>
    <row r="4" spans="1:7" x14ac:dyDescent="0.25">
      <c r="A4" s="59" t="s">
        <v>100</v>
      </c>
      <c r="B4" s="16">
        <v>0</v>
      </c>
      <c r="C4" s="6" t="s">
        <v>11</v>
      </c>
      <c r="D4" s="6" t="s">
        <v>10</v>
      </c>
    </row>
    <row r="5" spans="1:7" ht="45" x14ac:dyDescent="0.25">
      <c r="A5" s="59" t="s">
        <v>101</v>
      </c>
      <c r="B5" s="16">
        <v>1000000</v>
      </c>
      <c r="C5" s="6" t="s">
        <v>8</v>
      </c>
      <c r="D5" s="6" t="s">
        <v>7</v>
      </c>
    </row>
    <row r="6" spans="1:7" x14ac:dyDescent="0.25">
      <c r="A6" s="59" t="s">
        <v>70</v>
      </c>
      <c r="B6" s="52">
        <v>3</v>
      </c>
      <c r="C6" s="6"/>
      <c r="D6" s="6"/>
    </row>
    <row r="7" spans="1:7" x14ac:dyDescent="0.25">
      <c r="A7" s="59" t="s">
        <v>19</v>
      </c>
      <c r="B7" s="7">
        <v>0.06</v>
      </c>
      <c r="C7" s="6"/>
      <c r="D7" s="6"/>
    </row>
    <row r="8" spans="1:7" ht="45" x14ac:dyDescent="0.25">
      <c r="A8" s="59" t="s">
        <v>102</v>
      </c>
      <c r="B8" s="51">
        <v>12</v>
      </c>
      <c r="C8" s="6"/>
      <c r="D8" s="6"/>
    </row>
    <row r="9" spans="1:7" x14ac:dyDescent="0.25">
      <c r="A9" s="59" t="s">
        <v>73</v>
      </c>
      <c r="B9" s="27">
        <f>B7/B8</f>
        <v>5.0000000000000001E-3</v>
      </c>
      <c r="C9" s="6" t="s">
        <v>18</v>
      </c>
      <c r="D9" s="6" t="s">
        <v>17</v>
      </c>
    </row>
    <row r="10" spans="1:7" x14ac:dyDescent="0.25">
      <c r="A10" s="59" t="s">
        <v>15</v>
      </c>
      <c r="B10" s="26">
        <f>B6*B8</f>
        <v>36</v>
      </c>
      <c r="C10" s="6" t="s">
        <v>14</v>
      </c>
      <c r="D10" s="6" t="s">
        <v>13</v>
      </c>
    </row>
    <row r="11" spans="1:7" x14ac:dyDescent="0.25">
      <c r="A11" s="59" t="s">
        <v>21</v>
      </c>
      <c r="B11" s="9">
        <v>0</v>
      </c>
      <c r="C11" s="6" t="s">
        <v>5</v>
      </c>
      <c r="D11" s="6" t="s">
        <v>4</v>
      </c>
    </row>
    <row r="12" spans="1:7" x14ac:dyDescent="0.25">
      <c r="A12" s="43" t="s">
        <v>103</v>
      </c>
      <c r="B12" s="13">
        <f>PMT(B9,B10,B4,-B5,B11)</f>
        <v>25421.93745155511</v>
      </c>
      <c r="C12" s="6"/>
      <c r="D12" s="6"/>
    </row>
    <row r="14" spans="1:7" ht="60" x14ac:dyDescent="0.25">
      <c r="A14" s="61" t="s">
        <v>94</v>
      </c>
      <c r="B14" s="62" t="s">
        <v>107</v>
      </c>
      <c r="C14" s="62" t="s">
        <v>105</v>
      </c>
      <c r="D14" s="62" t="s">
        <v>106</v>
      </c>
      <c r="E14" s="62" t="s">
        <v>104</v>
      </c>
      <c r="F14" s="62" t="s">
        <v>109</v>
      </c>
      <c r="G14" s="62" t="s">
        <v>108</v>
      </c>
    </row>
    <row r="15" spans="1:7" x14ac:dyDescent="0.25">
      <c r="A15">
        <v>1</v>
      </c>
      <c r="B15" s="60">
        <f>$B$12</f>
        <v>25421.93745155511</v>
      </c>
      <c r="C15" s="60">
        <f>IPMT($B$9,A15,$B$10,$B$4,$B$5,$B$11)</f>
        <v>0</v>
      </c>
      <c r="D15" s="60">
        <f>-PPMT($B$9,A15,$B$10,$B$4,$B$5,$B$11)</f>
        <v>25421.93745155511</v>
      </c>
      <c r="E15" s="60">
        <f>SUM($D$14:D15)</f>
        <v>25421.93745155511</v>
      </c>
      <c r="F15" s="60">
        <f>Таблица4[[#This Row],[Регулярный взнос]]*Таблица4[[#This Row],[Период]]</f>
        <v>25421.93745155511</v>
      </c>
      <c r="G15" s="63">
        <f>SUM($C$14:C15)</f>
        <v>0</v>
      </c>
    </row>
    <row r="16" spans="1:7" x14ac:dyDescent="0.25">
      <c r="A16">
        <v>2</v>
      </c>
      <c r="B16" s="60">
        <f t="shared" ref="B16:B50" si="0">$B$12</f>
        <v>25421.93745155511</v>
      </c>
      <c r="C16" s="60">
        <f t="shared" ref="C16:C18" si="1">IPMT($B$9,A16,$B$10,$B$4,$B$5,$B$11)</f>
        <v>127.1096872577758</v>
      </c>
      <c r="D16" s="60">
        <f t="shared" ref="D16:D18" si="2">-PPMT($B$9,A16,$B$10,$B$4,$B$5,$B$11)</f>
        <v>25549.047138812886</v>
      </c>
      <c r="E16" s="60">
        <f>SUM($D$14:D16)</f>
        <v>50970.984590367996</v>
      </c>
      <c r="F16" s="60">
        <f>Таблица4[[#This Row],[Регулярный взнос]]*Таблица4[[#This Row],[Период]]</f>
        <v>50843.87490311022</v>
      </c>
      <c r="G16" s="60">
        <f>SUM($C$14:C16)</f>
        <v>127.1096872577758</v>
      </c>
    </row>
    <row r="17" spans="1:7" x14ac:dyDescent="0.25">
      <c r="A17">
        <v>3</v>
      </c>
      <c r="B17" s="60">
        <f t="shared" si="0"/>
        <v>25421.93745155511</v>
      </c>
      <c r="C17" s="60">
        <f t="shared" si="1"/>
        <v>254.85492295184056</v>
      </c>
      <c r="D17" s="60">
        <f t="shared" si="2"/>
        <v>25676.792374506953</v>
      </c>
      <c r="E17" s="60">
        <f>SUM($D$14:D17)</f>
        <v>76647.776964874953</v>
      </c>
      <c r="F17" s="60">
        <f>Таблица4[[#This Row],[Регулярный взнос]]*Таблица4[[#This Row],[Период]]</f>
        <v>76265.812354665337</v>
      </c>
      <c r="G17" s="60">
        <f>SUM($C$14:C17)</f>
        <v>381.96461020961635</v>
      </c>
    </row>
    <row r="18" spans="1:7" x14ac:dyDescent="0.25">
      <c r="A18">
        <v>4</v>
      </c>
      <c r="B18" s="60">
        <f t="shared" si="0"/>
        <v>25421.93745155511</v>
      </c>
      <c r="C18" s="60">
        <f t="shared" si="1"/>
        <v>383.2388848243753</v>
      </c>
      <c r="D18" s="60">
        <f t="shared" si="2"/>
        <v>25805.176336379485</v>
      </c>
      <c r="E18" s="60">
        <f>SUM($D$14:D18)</f>
        <v>102452.95330125444</v>
      </c>
      <c r="F18" s="60">
        <f>Таблица4[[#This Row],[Регулярный взнос]]*Таблица4[[#This Row],[Период]]</f>
        <v>101687.74980622044</v>
      </c>
      <c r="G18" s="60">
        <f>SUM($C$14:C18)</f>
        <v>765.20349503399166</v>
      </c>
    </row>
    <row r="19" spans="1:7" x14ac:dyDescent="0.25">
      <c r="A19">
        <v>5</v>
      </c>
      <c r="B19" s="60">
        <f t="shared" si="0"/>
        <v>25421.93745155511</v>
      </c>
      <c r="C19" s="60">
        <f t="shared" ref="C19:C26" si="3">IPMT($B$9,A19,$B$10,$B$4,$B$5,$B$11)</f>
        <v>512.2647665062733</v>
      </c>
      <c r="D19" s="60">
        <f t="shared" ref="D19:D26" si="4">-PPMT($B$9,A19,$B$10,$B$4,$B$5,$B$11)</f>
        <v>25934.202218061382</v>
      </c>
      <c r="E19" s="60">
        <f>SUM($D$14:D19)</f>
        <v>128387.15551931583</v>
      </c>
      <c r="F19" s="60">
        <f>Таблица4[[#This Row],[Регулярный взнос]]*Таблица4[[#This Row],[Период]]</f>
        <v>127109.68725777554</v>
      </c>
      <c r="G19" s="60">
        <f>SUM($C$14:C19)</f>
        <v>1277.4682615402648</v>
      </c>
    </row>
    <row r="20" spans="1:7" x14ac:dyDescent="0.25">
      <c r="A20">
        <v>6</v>
      </c>
      <c r="B20" s="60">
        <f t="shared" si="0"/>
        <v>25421.93745155511</v>
      </c>
      <c r="C20" s="60">
        <f t="shared" si="3"/>
        <v>641.9357775965799</v>
      </c>
      <c r="D20" s="60">
        <f t="shared" si="4"/>
        <v>26063.87322915169</v>
      </c>
      <c r="E20" s="60">
        <f>SUM($D$14:D20)</f>
        <v>154451.02874846751</v>
      </c>
      <c r="F20" s="60">
        <f>Таблица4[[#This Row],[Регулярный взнос]]*Таблица4[[#This Row],[Период]]</f>
        <v>152531.62470933067</v>
      </c>
      <c r="G20" s="60">
        <f>SUM($C$14:C20)</f>
        <v>1919.4040391368449</v>
      </c>
    </row>
    <row r="21" spans="1:7" x14ac:dyDescent="0.25">
      <c r="A21">
        <v>7</v>
      </c>
      <c r="B21" s="60">
        <f t="shared" si="0"/>
        <v>25421.93745155511</v>
      </c>
      <c r="C21" s="60">
        <f t="shared" si="3"/>
        <v>772.25514374233728</v>
      </c>
      <c r="D21" s="60">
        <f t="shared" si="4"/>
        <v>26194.192595297449</v>
      </c>
      <c r="E21" s="60">
        <f>SUM($D$14:D21)</f>
        <v>180645.22134376495</v>
      </c>
      <c r="F21" s="60">
        <f>Таблица4[[#This Row],[Регулярный взнос]]*Таблица4[[#This Row],[Период]]</f>
        <v>177953.56216088578</v>
      </c>
      <c r="G21" s="60">
        <f>SUM($C$14:C21)</f>
        <v>2691.659182879182</v>
      </c>
    </row>
    <row r="22" spans="1:7" x14ac:dyDescent="0.25">
      <c r="A22">
        <v>8</v>
      </c>
      <c r="B22" s="60">
        <f t="shared" si="0"/>
        <v>25421.93745155511</v>
      </c>
      <c r="C22" s="60">
        <f t="shared" si="3"/>
        <v>903.22610671882524</v>
      </c>
      <c r="D22" s="60">
        <f t="shared" si="4"/>
        <v>26325.163558273936</v>
      </c>
      <c r="E22" s="60">
        <f>SUM($D$14:D22)</f>
        <v>206970.38490203887</v>
      </c>
      <c r="F22" s="60">
        <f>Таблица4[[#This Row],[Регулярный взнос]]*Таблица4[[#This Row],[Период]]</f>
        <v>203375.49961244088</v>
      </c>
      <c r="G22" s="60">
        <f>SUM($C$14:C22)</f>
        <v>3594.8852895980071</v>
      </c>
    </row>
    <row r="23" spans="1:7" x14ac:dyDescent="0.25">
      <c r="A23">
        <v>9</v>
      </c>
      <c r="B23" s="60">
        <f t="shared" si="0"/>
        <v>25421.93745155511</v>
      </c>
      <c r="C23" s="60">
        <f t="shared" si="3"/>
        <v>1034.8519245101954</v>
      </c>
      <c r="D23" s="60">
        <f t="shared" si="4"/>
        <v>26456.78937606531</v>
      </c>
      <c r="E23" s="60">
        <f>SUM($D$14:D23)</f>
        <v>233427.17427810418</v>
      </c>
      <c r="F23" s="60">
        <f>Таблица4[[#This Row],[Регулярный взнос]]*Таблица4[[#This Row],[Период]]</f>
        <v>228797.43706399598</v>
      </c>
      <c r="G23" s="60">
        <f>SUM($C$14:C23)</f>
        <v>4629.7372141082024</v>
      </c>
    </row>
    <row r="24" spans="1:7" x14ac:dyDescent="0.25">
      <c r="A24">
        <v>10</v>
      </c>
      <c r="B24" s="60">
        <f t="shared" si="0"/>
        <v>25421.93745155511</v>
      </c>
      <c r="C24" s="60">
        <f t="shared" si="3"/>
        <v>1167.1358713905217</v>
      </c>
      <c r="D24" s="60">
        <f t="shared" si="4"/>
        <v>26589.073322945627</v>
      </c>
      <c r="E24" s="60">
        <f>SUM($D$14:D24)</f>
        <v>260016.24760104981</v>
      </c>
      <c r="F24" s="60">
        <f>Таблица4[[#This Row],[Регулярный взнос]]*Таблица4[[#This Row],[Период]]</f>
        <v>254219.37451555108</v>
      </c>
      <c r="G24" s="60">
        <f>SUM($C$14:C24)</f>
        <v>5796.8730854987243</v>
      </c>
    </row>
    <row r="25" spans="1:7" x14ac:dyDescent="0.25">
      <c r="A25">
        <v>11</v>
      </c>
      <c r="B25" s="60">
        <f t="shared" si="0"/>
        <v>25421.93745155511</v>
      </c>
      <c r="C25" s="60">
        <f t="shared" si="3"/>
        <v>1300.0812380052503</v>
      </c>
      <c r="D25" s="60">
        <f t="shared" si="4"/>
        <v>26722.018689560358</v>
      </c>
      <c r="E25" s="60">
        <f>SUM($D$14:D25)</f>
        <v>286738.26629061019</v>
      </c>
      <c r="F25" s="60">
        <f>Таблица4[[#This Row],[Регулярный взнос]]*Таблица4[[#This Row],[Период]]</f>
        <v>279641.31196710619</v>
      </c>
      <c r="G25" s="60">
        <f>SUM($C$14:C25)</f>
        <v>7096.9543235039746</v>
      </c>
    </row>
    <row r="26" spans="1:7" x14ac:dyDescent="0.25">
      <c r="A26">
        <v>12</v>
      </c>
      <c r="B26" s="60">
        <f t="shared" si="0"/>
        <v>25421.93745155511</v>
      </c>
      <c r="C26" s="60">
        <f t="shared" si="3"/>
        <v>1433.6913314530516</v>
      </c>
      <c r="D26" s="60">
        <f t="shared" si="4"/>
        <v>26855.628783008164</v>
      </c>
      <c r="E26" s="60">
        <f>SUM($D$14:D26)</f>
        <v>313593.89507361833</v>
      </c>
      <c r="F26" s="60">
        <f>Таблица4[[#This Row],[Регулярный взнос]]*Таблица4[[#This Row],[Период]]</f>
        <v>305063.24941866135</v>
      </c>
      <c r="G26" s="60">
        <f>SUM($C$14:C26)</f>
        <v>8530.6456549570266</v>
      </c>
    </row>
    <row r="27" spans="1:7" x14ac:dyDescent="0.25">
      <c r="A27">
        <v>13</v>
      </c>
      <c r="B27" s="60">
        <f t="shared" si="0"/>
        <v>25421.93745155511</v>
      </c>
      <c r="C27" s="60">
        <f t="shared" ref="C27:C50" si="5">IPMT($B$9,A27,$B$10,$B$4,$B$5,$B$11)</f>
        <v>1567.9694753680919</v>
      </c>
      <c r="D27" s="60">
        <f t="shared" ref="D27:D50" si="6">-PPMT($B$9,A27,$B$10,$B$4,$B$5,$B$11)</f>
        <v>26989.906926923202</v>
      </c>
      <c r="E27" s="60">
        <f>SUM($D$14:D27)</f>
        <v>340583.80200054153</v>
      </c>
      <c r="F27" s="60">
        <f>Таблица4[[#This Row],[Регулярный взнос]]*Таблица4[[#This Row],[Период]]</f>
        <v>330485.18687021645</v>
      </c>
      <c r="G27" s="60">
        <f>SUM($C$14:C27)</f>
        <v>10098.615130325119</v>
      </c>
    </row>
    <row r="28" spans="1:7" x14ac:dyDescent="0.25">
      <c r="A28">
        <v>14</v>
      </c>
      <c r="B28" s="60">
        <f t="shared" si="0"/>
        <v>25421.93745155511</v>
      </c>
      <c r="C28" s="60">
        <f t="shared" si="5"/>
        <v>1702.9190100027085</v>
      </c>
      <c r="D28" s="60">
        <f t="shared" si="6"/>
        <v>27124.856461557818</v>
      </c>
      <c r="E28" s="60">
        <f>SUM($D$14:D28)</f>
        <v>367708.65846209932</v>
      </c>
      <c r="F28" s="60">
        <f>Таблица4[[#This Row],[Регулярный взнос]]*Таблица4[[#This Row],[Период]]</f>
        <v>355907.12432177155</v>
      </c>
      <c r="G28" s="60">
        <f>SUM($C$14:C28)</f>
        <v>11801.534140327827</v>
      </c>
    </row>
    <row r="29" spans="1:7" x14ac:dyDescent="0.25">
      <c r="A29">
        <v>15</v>
      </c>
      <c r="B29" s="60">
        <f t="shared" si="0"/>
        <v>25421.93745155511</v>
      </c>
      <c r="C29" s="60">
        <f t="shared" si="5"/>
        <v>1838.5432923104975</v>
      </c>
      <c r="D29" s="60">
        <f t="shared" si="6"/>
        <v>27260.48074386561</v>
      </c>
      <c r="E29" s="60">
        <f>SUM($D$14:D29)</f>
        <v>394969.13920596492</v>
      </c>
      <c r="F29" s="60">
        <f>Таблица4[[#This Row],[Регулярный взнос]]*Таблица4[[#This Row],[Период]]</f>
        <v>381329.06177332666</v>
      </c>
      <c r="G29" s="60">
        <f>SUM($C$14:C29)</f>
        <v>13640.077432638325</v>
      </c>
    </row>
    <row r="30" spans="1:7" x14ac:dyDescent="0.25">
      <c r="A30">
        <v>16</v>
      </c>
      <c r="B30" s="60">
        <f t="shared" si="0"/>
        <v>25421.93745155511</v>
      </c>
      <c r="C30" s="60">
        <f t="shared" si="5"/>
        <v>1974.8456960298256</v>
      </c>
      <c r="D30" s="60">
        <f t="shared" si="6"/>
        <v>27396.783147584938</v>
      </c>
      <c r="E30" s="60">
        <f>SUM($D$14:D30)</f>
        <v>422365.92235354986</v>
      </c>
      <c r="F30" s="60">
        <f>Таблица4[[#This Row],[Регулярный взнос]]*Таблица4[[#This Row],[Период]]</f>
        <v>406750.99922488176</v>
      </c>
      <c r="G30" s="60">
        <f>SUM($C$14:C30)</f>
        <v>15614.923128668152</v>
      </c>
    </row>
    <row r="31" spans="1:7" x14ac:dyDescent="0.25">
      <c r="A31">
        <v>17</v>
      </c>
      <c r="B31" s="60">
        <f t="shared" si="0"/>
        <v>25421.93745155511</v>
      </c>
      <c r="C31" s="60">
        <f t="shared" si="5"/>
        <v>2111.8296117677505</v>
      </c>
      <c r="D31" s="60">
        <f t="shared" si="6"/>
        <v>27533.767063322859</v>
      </c>
      <c r="E31" s="60">
        <f>SUM($D$14:D31)</f>
        <v>449899.68941687274</v>
      </c>
      <c r="F31" s="60">
        <f>Таблица4[[#This Row],[Регулярный взнос]]*Таблица4[[#This Row],[Период]]</f>
        <v>432172.93667643686</v>
      </c>
      <c r="G31" s="60">
        <f>SUM($C$14:C31)</f>
        <v>17726.752740435903</v>
      </c>
    </row>
    <row r="32" spans="1:7" x14ac:dyDescent="0.25">
      <c r="A32">
        <v>18</v>
      </c>
      <c r="B32" s="60">
        <f t="shared" si="0"/>
        <v>25421.93745155511</v>
      </c>
      <c r="C32" s="60">
        <f t="shared" si="5"/>
        <v>2249.4984470843647</v>
      </c>
      <c r="D32" s="60">
        <f t="shared" si="6"/>
        <v>27671.435898639476</v>
      </c>
      <c r="E32" s="60">
        <f>SUM($D$14:D32)</f>
        <v>477571.12531551224</v>
      </c>
      <c r="F32" s="60">
        <f>Таблица4[[#This Row],[Регулярный взнос]]*Таблица4[[#This Row],[Период]]</f>
        <v>457594.87412799196</v>
      </c>
      <c r="G32" s="60">
        <f>SUM($C$14:C32)</f>
        <v>19976.251187520269</v>
      </c>
    </row>
    <row r="33" spans="1:7" x14ac:dyDescent="0.25">
      <c r="A33">
        <v>19</v>
      </c>
      <c r="B33" s="60">
        <f t="shared" si="0"/>
        <v>25421.93745155511</v>
      </c>
      <c r="C33" s="60">
        <f t="shared" si="5"/>
        <v>2387.8556265775619</v>
      </c>
      <c r="D33" s="60">
        <f t="shared" si="6"/>
        <v>27809.793078132672</v>
      </c>
      <c r="E33" s="60">
        <f>SUM($D$14:D33)</f>
        <v>505380.91839364491</v>
      </c>
      <c r="F33" s="60">
        <f>Таблица4[[#This Row],[Регулярный взнос]]*Таблица4[[#This Row],[Период]]</f>
        <v>483016.81157954707</v>
      </c>
      <c r="G33" s="60">
        <f>SUM($C$14:C33)</f>
        <v>22364.106814097831</v>
      </c>
    </row>
    <row r="34" spans="1:7" x14ac:dyDescent="0.25">
      <c r="A34">
        <v>20</v>
      </c>
      <c r="B34" s="60">
        <f t="shared" si="0"/>
        <v>25421.93745155511</v>
      </c>
      <c r="C34" s="60">
        <f t="shared" si="5"/>
        <v>2526.9045919682262</v>
      </c>
      <c r="D34" s="60">
        <f t="shared" si="6"/>
        <v>27948.842043523338</v>
      </c>
      <c r="E34" s="60">
        <f>SUM($D$14:D34)</f>
        <v>533329.7604371683</v>
      </c>
      <c r="F34" s="60">
        <f>Таблица4[[#This Row],[Регулярный взнос]]*Таблица4[[#This Row],[Период]]</f>
        <v>508438.74903110217</v>
      </c>
      <c r="G34" s="60">
        <f>SUM($C$14:C34)</f>
        <v>24891.011406066056</v>
      </c>
    </row>
    <row r="35" spans="1:7" x14ac:dyDescent="0.25">
      <c r="A35">
        <v>21</v>
      </c>
      <c r="B35" s="60">
        <f t="shared" si="0"/>
        <v>25421.93745155511</v>
      </c>
      <c r="C35" s="60">
        <f t="shared" si="5"/>
        <v>2666.6488021858422</v>
      </c>
      <c r="D35" s="60">
        <f t="shared" si="6"/>
        <v>28088.586253740952</v>
      </c>
      <c r="E35" s="60">
        <f>SUM($D$14:D35)</f>
        <v>561418.34669090924</v>
      </c>
      <c r="F35" s="60">
        <f>Таблица4[[#This Row],[Регулярный взнос]]*Таблица4[[#This Row],[Период]]</f>
        <v>533860.68648265733</v>
      </c>
      <c r="G35" s="60">
        <f>SUM($C$14:C35)</f>
        <v>27557.660208251898</v>
      </c>
    </row>
    <row r="36" spans="1:7" x14ac:dyDescent="0.25">
      <c r="A36">
        <v>22</v>
      </c>
      <c r="B36" s="60">
        <f t="shared" si="0"/>
        <v>25421.93745155511</v>
      </c>
      <c r="C36" s="60">
        <f t="shared" si="5"/>
        <v>2807.0917334545475</v>
      </c>
      <c r="D36" s="60">
        <f t="shared" si="6"/>
        <v>28229.029185009655</v>
      </c>
      <c r="E36" s="60">
        <f>SUM($D$14:D36)</f>
        <v>589647.37587591889</v>
      </c>
      <c r="F36" s="60">
        <f>Таблица4[[#This Row],[Регулярный взнос]]*Таблица4[[#This Row],[Период]]</f>
        <v>559282.62393421237</v>
      </c>
      <c r="G36" s="60">
        <f>SUM($C$14:C36)</f>
        <v>30364.751941706447</v>
      </c>
    </row>
    <row r="37" spans="1:7" x14ac:dyDescent="0.25">
      <c r="A37">
        <v>23</v>
      </c>
      <c r="B37" s="60">
        <f t="shared" si="0"/>
        <v>25421.93745155511</v>
      </c>
      <c r="C37" s="60">
        <f t="shared" si="5"/>
        <v>2948.2368793795958</v>
      </c>
      <c r="D37" s="60">
        <f t="shared" si="6"/>
        <v>28370.174330934708</v>
      </c>
      <c r="E37" s="60">
        <f>SUM($D$14:D37)</f>
        <v>618017.55020685354</v>
      </c>
      <c r="F37" s="60">
        <f>Таблица4[[#This Row],[Регулярный взнос]]*Таблица4[[#This Row],[Период]]</f>
        <v>584704.56138576753</v>
      </c>
      <c r="G37" s="60">
        <f>SUM($C$14:C37)</f>
        <v>33312.988821086044</v>
      </c>
    </row>
    <row r="38" spans="1:7" x14ac:dyDescent="0.25">
      <c r="A38">
        <v>24</v>
      </c>
      <c r="B38" s="60">
        <f t="shared" si="0"/>
        <v>25421.93745155511</v>
      </c>
      <c r="C38" s="60">
        <f t="shared" si="5"/>
        <v>3090.0877510342689</v>
      </c>
      <c r="D38" s="60">
        <f t="shared" si="6"/>
        <v>28512.025202589379</v>
      </c>
      <c r="E38" s="60">
        <f>SUM($D$14:D38)</f>
        <v>646529.57540944288</v>
      </c>
      <c r="F38" s="60">
        <f>Таблица4[[#This Row],[Регулярный взнос]]*Таблица4[[#This Row],[Период]]</f>
        <v>610126.4988373227</v>
      </c>
      <c r="G38" s="60">
        <f>SUM($C$14:C38)</f>
        <v>36403.076572120313</v>
      </c>
    </row>
    <row r="39" spans="1:7" x14ac:dyDescent="0.25">
      <c r="A39">
        <v>25</v>
      </c>
      <c r="B39" s="60">
        <f t="shared" si="0"/>
        <v>25421.93745155511</v>
      </c>
      <c r="C39" s="60">
        <f t="shared" si="5"/>
        <v>3232.6478770472158</v>
      </c>
      <c r="D39" s="60">
        <f t="shared" si="6"/>
        <v>28654.585328602327</v>
      </c>
      <c r="E39" s="60">
        <f>SUM($D$14:D39)</f>
        <v>675184.16073804523</v>
      </c>
      <c r="F39" s="60">
        <f>Таблица4[[#This Row],[Регулярный взнос]]*Таблица4[[#This Row],[Период]]</f>
        <v>635548.43628887774</v>
      </c>
      <c r="G39" s="60">
        <f>SUM($C$14:C39)</f>
        <v>39635.72444916753</v>
      </c>
    </row>
    <row r="40" spans="1:7" x14ac:dyDescent="0.25">
      <c r="A40">
        <v>26</v>
      </c>
      <c r="B40" s="60">
        <f t="shared" si="0"/>
        <v>25421.93745155511</v>
      </c>
      <c r="C40" s="60">
        <f t="shared" si="5"/>
        <v>3375.9208036902273</v>
      </c>
      <c r="D40" s="60">
        <f t="shared" si="6"/>
        <v>28797.858255245337</v>
      </c>
      <c r="E40" s="60">
        <f>SUM($D$14:D40)</f>
        <v>703982.01899329061</v>
      </c>
      <c r="F40" s="60">
        <f>Таблица4[[#This Row],[Регулярный взнос]]*Таблица4[[#This Row],[Период]]</f>
        <v>660970.3737404329</v>
      </c>
      <c r="G40" s="60">
        <f>SUM($C$14:C40)</f>
        <v>43011.645252857757</v>
      </c>
    </row>
    <row r="41" spans="1:7" x14ac:dyDescent="0.25">
      <c r="A41">
        <v>27</v>
      </c>
      <c r="B41" s="60">
        <f t="shared" si="0"/>
        <v>25421.93745155511</v>
      </c>
      <c r="C41" s="60">
        <f t="shared" si="5"/>
        <v>3519.9100949664544</v>
      </c>
      <c r="D41" s="60">
        <f t="shared" si="6"/>
        <v>28941.847546521567</v>
      </c>
      <c r="E41" s="60">
        <f>SUM($D$14:D41)</f>
        <v>732923.86653981218</v>
      </c>
      <c r="F41" s="60">
        <f>Таблица4[[#This Row],[Регулярный взнос]]*Таблица4[[#This Row],[Период]]</f>
        <v>686392.31119198794</v>
      </c>
      <c r="G41" s="60">
        <f>SUM($C$14:C41)</f>
        <v>46531.555347824215</v>
      </c>
    </row>
    <row r="42" spans="1:7" x14ac:dyDescent="0.25">
      <c r="A42">
        <v>28</v>
      </c>
      <c r="B42" s="60">
        <f t="shared" si="0"/>
        <v>25421.93745155511</v>
      </c>
      <c r="C42" s="60">
        <f t="shared" si="5"/>
        <v>3664.6193326990619</v>
      </c>
      <c r="D42" s="60">
        <f t="shared" si="6"/>
        <v>29086.556784254175</v>
      </c>
      <c r="E42" s="60">
        <f>SUM($D$14:D42)</f>
        <v>762010.42332406633</v>
      </c>
      <c r="F42" s="60">
        <f>Таблица4[[#This Row],[Регулярный взнос]]*Таблица4[[#This Row],[Период]]</f>
        <v>711814.24864354311</v>
      </c>
      <c r="G42" s="60">
        <f>SUM($C$14:C42)</f>
        <v>50196.174680523276</v>
      </c>
    </row>
    <row r="43" spans="1:7" x14ac:dyDescent="0.25">
      <c r="A43">
        <v>29</v>
      </c>
      <c r="B43" s="60">
        <f t="shared" si="0"/>
        <v>25421.93745155511</v>
      </c>
      <c r="C43" s="60">
        <f t="shared" si="5"/>
        <v>3810.052116620333</v>
      </c>
      <c r="D43" s="60">
        <f t="shared" si="6"/>
        <v>29231.989568175442</v>
      </c>
      <c r="E43" s="60">
        <f>SUM($D$14:D43)</f>
        <v>791242.41289224173</v>
      </c>
      <c r="F43" s="60">
        <f>Таблица4[[#This Row],[Регулярный взнос]]*Таблица4[[#This Row],[Период]]</f>
        <v>737236.18609509815</v>
      </c>
      <c r="G43" s="60">
        <f>SUM($C$14:C43)</f>
        <v>54006.226797143609</v>
      </c>
    </row>
    <row r="44" spans="1:7" x14ac:dyDescent="0.25">
      <c r="A44">
        <v>30</v>
      </c>
      <c r="B44" s="60">
        <f t="shared" si="0"/>
        <v>25421.93745155511</v>
      </c>
      <c r="C44" s="60">
        <f t="shared" si="5"/>
        <v>3956.2120644612105</v>
      </c>
      <c r="D44" s="60">
        <f t="shared" si="6"/>
        <v>29378.149516016321</v>
      </c>
      <c r="E44" s="60">
        <f>SUM($D$14:D44)</f>
        <v>820620.56240825809</v>
      </c>
      <c r="F44" s="60">
        <f>Таблица4[[#This Row],[Регулярный взнос]]*Таблица4[[#This Row],[Период]]</f>
        <v>762658.12354665331</v>
      </c>
      <c r="G44" s="60">
        <f>SUM($C$14:C44)</f>
        <v>57962.438861604816</v>
      </c>
    </row>
    <row r="45" spans="1:7" x14ac:dyDescent="0.25">
      <c r="A45">
        <v>31</v>
      </c>
      <c r="B45" s="60">
        <f t="shared" si="0"/>
        <v>25421.93745155511</v>
      </c>
      <c r="C45" s="60">
        <f t="shared" si="5"/>
        <v>4103.1028120412921</v>
      </c>
      <c r="D45" s="60">
        <f t="shared" si="6"/>
        <v>29525.040263596402</v>
      </c>
      <c r="E45" s="60">
        <f>SUM($D$14:D45)</f>
        <v>850145.60267185455</v>
      </c>
      <c r="F45" s="60">
        <f>Таблица4[[#This Row],[Регулярный взнос]]*Таблица4[[#This Row],[Период]]</f>
        <v>788080.06099820836</v>
      </c>
      <c r="G45" s="60">
        <f>SUM($C$14:C45)</f>
        <v>62065.541673646105</v>
      </c>
    </row>
    <row r="46" spans="1:7" x14ac:dyDescent="0.25">
      <c r="A46">
        <v>32</v>
      </c>
      <c r="B46" s="60">
        <f t="shared" si="0"/>
        <v>25421.93745155511</v>
      </c>
      <c r="C46" s="60">
        <f t="shared" si="5"/>
        <v>4250.728013359274</v>
      </c>
      <c r="D46" s="60">
        <f t="shared" si="6"/>
        <v>29672.665464914386</v>
      </c>
      <c r="E46" s="60">
        <f>SUM($D$14:D46)</f>
        <v>879818.26813676895</v>
      </c>
      <c r="F46" s="60">
        <f>Таблица4[[#This Row],[Регулярный взнос]]*Таблица4[[#This Row],[Период]]</f>
        <v>813501.99844976352</v>
      </c>
      <c r="G46" s="60">
        <f>SUM($C$14:C46)</f>
        <v>66316.269687005377</v>
      </c>
    </row>
    <row r="47" spans="1:7" x14ac:dyDescent="0.25">
      <c r="A47">
        <v>33</v>
      </c>
      <c r="B47" s="60">
        <f t="shared" si="0"/>
        <v>25421.93745155511</v>
      </c>
      <c r="C47" s="60">
        <f t="shared" si="5"/>
        <v>4399.0913406838463</v>
      </c>
      <c r="D47" s="60">
        <f t="shared" si="6"/>
        <v>29821.028792238954</v>
      </c>
      <c r="E47" s="60">
        <f>SUM($D$14:D47)</f>
        <v>909639.29692900786</v>
      </c>
      <c r="F47" s="60">
        <f>Таблица4[[#This Row],[Регулярный взнос]]*Таблица4[[#This Row],[Период]]</f>
        <v>838923.93590131868</v>
      </c>
      <c r="G47" s="60">
        <f>SUM($C$14:C47)</f>
        <v>70715.361027689229</v>
      </c>
    </row>
    <row r="48" spans="1:7" x14ac:dyDescent="0.25">
      <c r="A48">
        <v>34</v>
      </c>
      <c r="B48" s="60">
        <f t="shared" si="0"/>
        <v>25421.93745155511</v>
      </c>
      <c r="C48" s="60">
        <f t="shared" si="5"/>
        <v>4548.196484645041</v>
      </c>
      <c r="D48" s="60">
        <f t="shared" si="6"/>
        <v>29970.133936200153</v>
      </c>
      <c r="E48" s="60">
        <f>SUM($D$14:D48)</f>
        <v>939609.43086520804</v>
      </c>
      <c r="F48" s="60">
        <f>Таблица4[[#This Row],[Регулярный взнос]]*Таблица4[[#This Row],[Период]]</f>
        <v>864345.87335287372</v>
      </c>
      <c r="G48" s="60">
        <f>SUM($C$14:C48)</f>
        <v>75263.557512334271</v>
      </c>
    </row>
    <row r="49" spans="1:7" x14ac:dyDescent="0.25">
      <c r="A49">
        <v>35</v>
      </c>
      <c r="B49" s="60">
        <f t="shared" si="0"/>
        <v>25421.93745155511</v>
      </c>
      <c r="C49" s="60">
        <f t="shared" si="5"/>
        <v>4698.0471543260419</v>
      </c>
      <c r="D49" s="60">
        <f t="shared" si="6"/>
        <v>30119.984605881153</v>
      </c>
      <c r="E49" s="60">
        <f>SUM($D$14:D49)</f>
        <v>969729.41547108919</v>
      </c>
      <c r="F49" s="60">
        <f>Таблица4[[#This Row],[Регулярный взнос]]*Таблица4[[#This Row],[Период]]</f>
        <v>889767.81080442888</v>
      </c>
      <c r="G49" s="60">
        <f>SUM($C$14:C49)</f>
        <v>79961.604666660307</v>
      </c>
    </row>
    <row r="50" spans="1:7" x14ac:dyDescent="0.25">
      <c r="A50">
        <v>36</v>
      </c>
      <c r="B50" s="60">
        <f t="shared" si="0"/>
        <v>25421.93745155511</v>
      </c>
      <c r="C50" s="60">
        <f t="shared" si="5"/>
        <v>4848.6470773554474</v>
      </c>
      <c r="D50" s="60">
        <f t="shared" si="6"/>
        <v>30270.58452891056</v>
      </c>
      <c r="E50" s="60">
        <f>SUM($D$14:D50)</f>
        <v>999999.99999999977</v>
      </c>
      <c r="F50" s="60">
        <f>Таблица4[[#This Row],[Регулярный взнос]]*Таблица4[[#This Row],[Период]]</f>
        <v>915189.74825598393</v>
      </c>
      <c r="G50" s="60">
        <f>SUM($C$14:C50)</f>
        <v>84810.251744015754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13"/>
  <sheetViews>
    <sheetView workbookViewId="0">
      <selection activeCell="E49" sqref="E49"/>
    </sheetView>
  </sheetViews>
  <sheetFormatPr defaultRowHeight="15" x14ac:dyDescent="0.25"/>
  <cols>
    <col min="1" max="1" width="23" customWidth="1"/>
    <col min="2" max="2" width="13.5703125" customWidth="1"/>
    <col min="3" max="3" width="12.42578125" bestFit="1" customWidth="1"/>
    <col min="4" max="4" width="13.42578125" customWidth="1"/>
    <col min="5" max="5" width="13.140625" customWidth="1"/>
    <col min="6" max="6" width="16.28515625" customWidth="1"/>
    <col min="7" max="7" width="17.7109375" customWidth="1"/>
  </cols>
  <sheetData>
    <row r="1" spans="1:7" x14ac:dyDescent="0.25">
      <c r="A1" s="22" t="s">
        <v>48</v>
      </c>
      <c r="B1" s="23"/>
      <c r="C1" s="23"/>
      <c r="D1" s="23"/>
      <c r="E1" s="23"/>
      <c r="F1" s="23"/>
      <c r="G1" s="23"/>
    </row>
    <row r="2" spans="1:7" x14ac:dyDescent="0.25">
      <c r="A2" t="s">
        <v>47</v>
      </c>
    </row>
    <row r="3" spans="1:7" x14ac:dyDescent="0.25">
      <c r="A3" s="1" t="s">
        <v>49</v>
      </c>
    </row>
    <row r="4" spans="1:7" x14ac:dyDescent="0.25">
      <c r="A4" s="6" t="s">
        <v>51</v>
      </c>
      <c r="B4" s="6">
        <v>10000</v>
      </c>
    </row>
    <row r="5" spans="1:7" x14ac:dyDescent="0.25">
      <c r="A5" s="6" t="s">
        <v>52</v>
      </c>
      <c r="B5" s="45">
        <v>0.15</v>
      </c>
    </row>
    <row r="6" spans="1:7" x14ac:dyDescent="0.25">
      <c r="A6" s="6" t="s">
        <v>50</v>
      </c>
      <c r="B6" s="6">
        <v>2</v>
      </c>
    </row>
    <row r="7" spans="1:7" x14ac:dyDescent="0.25">
      <c r="A7" s="1" t="s">
        <v>53</v>
      </c>
    </row>
    <row r="8" spans="1:7" x14ac:dyDescent="0.25">
      <c r="A8" t="s">
        <v>54</v>
      </c>
    </row>
    <row r="9" spans="1:7" x14ac:dyDescent="0.25">
      <c r="A9" t="s">
        <v>55</v>
      </c>
      <c r="B9">
        <f>12*B6</f>
        <v>24</v>
      </c>
      <c r="C9" t="s">
        <v>58</v>
      </c>
    </row>
    <row r="10" spans="1:7" x14ac:dyDescent="0.25">
      <c r="A10" t="s">
        <v>56</v>
      </c>
      <c r="B10" s="20">
        <f>B5/12</f>
        <v>1.2499999999999999E-2</v>
      </c>
    </row>
    <row r="11" spans="1:7" x14ac:dyDescent="0.25">
      <c r="A11" s="1" t="s">
        <v>57</v>
      </c>
      <c r="B11" s="21">
        <f>PMT(B10,B9,B4)</f>
        <v>-484.86648046951018</v>
      </c>
    </row>
    <row r="13" spans="1:7" x14ac:dyDescent="0.25">
      <c r="A13" s="22" t="s">
        <v>59</v>
      </c>
      <c r="B13" s="23"/>
      <c r="C13" s="23"/>
      <c r="D13" s="23"/>
      <c r="E13" s="23"/>
      <c r="F13" s="23"/>
      <c r="G13" s="23"/>
    </row>
    <row r="14" spans="1:7" x14ac:dyDescent="0.25">
      <c r="A14" t="s">
        <v>63</v>
      </c>
    </row>
    <row r="15" spans="1:7" x14ac:dyDescent="0.25">
      <c r="A15" s="1" t="s">
        <v>49</v>
      </c>
    </row>
    <row r="16" spans="1:7" x14ac:dyDescent="0.25">
      <c r="A16" s="6" t="s">
        <v>60</v>
      </c>
      <c r="B16" s="10">
        <v>1000000</v>
      </c>
    </row>
    <row r="17" spans="1:7" x14ac:dyDescent="0.25">
      <c r="A17" s="6" t="s">
        <v>52</v>
      </c>
      <c r="B17" s="45">
        <v>0.05</v>
      </c>
    </row>
    <row r="18" spans="1:7" x14ac:dyDescent="0.25">
      <c r="A18" s="6" t="s">
        <v>50</v>
      </c>
      <c r="B18" s="6">
        <v>5</v>
      </c>
      <c r="C18" t="s">
        <v>61</v>
      </c>
    </row>
    <row r="19" spans="1:7" x14ac:dyDescent="0.25">
      <c r="A19" s="1" t="s">
        <v>53</v>
      </c>
    </row>
    <row r="20" spans="1:7" x14ac:dyDescent="0.25">
      <c r="A20" t="s">
        <v>32</v>
      </c>
      <c r="B20" s="4">
        <f>PMT(B17/12,B18*12,0,B16,0)</f>
        <v>-14704.566977344266</v>
      </c>
    </row>
    <row r="21" spans="1:7" x14ac:dyDescent="0.25">
      <c r="B21" s="4"/>
    </row>
    <row r="22" spans="1:7" x14ac:dyDescent="0.25">
      <c r="A22" s="22" t="s">
        <v>62</v>
      </c>
      <c r="B22" s="23"/>
      <c r="C22" s="23"/>
      <c r="D22" s="23"/>
      <c r="E22" s="23"/>
      <c r="F22" s="23"/>
      <c r="G22" s="23"/>
    </row>
    <row r="23" spans="1:7" x14ac:dyDescent="0.25">
      <c r="A23" t="s">
        <v>66</v>
      </c>
    </row>
    <row r="24" spans="1:7" x14ac:dyDescent="0.25">
      <c r="A24" s="1" t="s">
        <v>49</v>
      </c>
    </row>
    <row r="25" spans="1:7" x14ac:dyDescent="0.25">
      <c r="A25" s="44" t="s">
        <v>64</v>
      </c>
      <c r="B25" s="10">
        <v>500000</v>
      </c>
    </row>
    <row r="26" spans="1:7" x14ac:dyDescent="0.25">
      <c r="A26" s="6" t="s">
        <v>60</v>
      </c>
      <c r="B26" s="10">
        <v>0</v>
      </c>
    </row>
    <row r="27" spans="1:7" x14ac:dyDescent="0.25">
      <c r="A27" s="6" t="s">
        <v>52</v>
      </c>
      <c r="B27" s="45">
        <v>0.12</v>
      </c>
    </row>
    <row r="28" spans="1:7" x14ac:dyDescent="0.25">
      <c r="A28" s="6" t="s">
        <v>65</v>
      </c>
      <c r="B28" s="45">
        <f>B27/12</f>
        <v>0.01</v>
      </c>
    </row>
    <row r="29" spans="1:7" x14ac:dyDescent="0.25">
      <c r="A29" s="6" t="s">
        <v>50</v>
      </c>
      <c r="B29" s="6">
        <v>10</v>
      </c>
      <c r="C29" t="s">
        <v>61</v>
      </c>
    </row>
    <row r="30" spans="1:7" x14ac:dyDescent="0.25">
      <c r="A30" s="1" t="s">
        <v>53</v>
      </c>
    </row>
    <row r="31" spans="1:7" x14ac:dyDescent="0.25">
      <c r="A31" s="25" t="s">
        <v>26</v>
      </c>
      <c r="B31" s="4"/>
      <c r="C31" s="24">
        <f>PMT(B28,B29*12,B25)</f>
        <v>-7173.5474201293691</v>
      </c>
    </row>
    <row r="32" spans="1:7" x14ac:dyDescent="0.25">
      <c r="B32" s="4"/>
    </row>
    <row r="33" spans="1:7" x14ac:dyDescent="0.25">
      <c r="A33" s="22" t="s">
        <v>67</v>
      </c>
      <c r="B33" s="23"/>
      <c r="C33" s="23"/>
      <c r="D33" s="23"/>
      <c r="E33" s="23"/>
      <c r="F33" s="23"/>
      <c r="G33" s="23"/>
    </row>
    <row r="34" spans="1:7" x14ac:dyDescent="0.25">
      <c r="A34" t="s">
        <v>68</v>
      </c>
    </row>
    <row r="35" spans="1:7" x14ac:dyDescent="0.25">
      <c r="A35" t="s">
        <v>69</v>
      </c>
    </row>
    <row r="37" spans="1:7" x14ac:dyDescent="0.25">
      <c r="A37" s="11" t="s">
        <v>22</v>
      </c>
      <c r="B37" s="11" t="s">
        <v>23</v>
      </c>
    </row>
    <row r="38" spans="1:7" x14ac:dyDescent="0.25">
      <c r="A38" s="6" t="s">
        <v>70</v>
      </c>
      <c r="B38" s="9">
        <v>5</v>
      </c>
    </row>
    <row r="39" spans="1:7" x14ac:dyDescent="0.25">
      <c r="A39" s="6" t="s">
        <v>71</v>
      </c>
      <c r="B39" s="9">
        <v>12</v>
      </c>
    </row>
    <row r="40" spans="1:7" x14ac:dyDescent="0.25">
      <c r="A40" s="6" t="s">
        <v>72</v>
      </c>
      <c r="B40" s="26">
        <f>B38*B39</f>
        <v>60</v>
      </c>
    </row>
    <row r="41" spans="1:7" x14ac:dyDescent="0.25">
      <c r="A41" s="6" t="s">
        <v>64</v>
      </c>
      <c r="B41" s="16">
        <v>200000</v>
      </c>
    </row>
    <row r="42" spans="1:7" x14ac:dyDescent="0.25">
      <c r="A42" s="6" t="s">
        <v>77</v>
      </c>
      <c r="B42" s="9">
        <v>-5581</v>
      </c>
    </row>
    <row r="43" spans="1:7" x14ac:dyDescent="0.25">
      <c r="A43" s="6" t="s">
        <v>21</v>
      </c>
      <c r="B43" s="9">
        <v>0</v>
      </c>
      <c r="C43" t="s">
        <v>76</v>
      </c>
    </row>
    <row r="45" spans="1:7" x14ac:dyDescent="0.25">
      <c r="A45" s="6" t="s">
        <v>73</v>
      </c>
      <c r="B45" s="27">
        <f>RATE(B40,B42,B41,0,B43)</f>
        <v>1.8751538000899143E-2</v>
      </c>
    </row>
    <row r="46" spans="1:7" x14ac:dyDescent="0.25">
      <c r="A46" s="6" t="s">
        <v>19</v>
      </c>
      <c r="B46" s="28">
        <f>B45*B39</f>
        <v>0.22501845601078974</v>
      </c>
    </row>
    <row r="47" spans="1:7" x14ac:dyDescent="0.25">
      <c r="A47" s="41" t="s">
        <v>74</v>
      </c>
      <c r="B47" s="10">
        <f>-CUMPRINC(B45,B40,B41,1,12,B43)</f>
        <v>24381.750473593711</v>
      </c>
      <c r="C47" s="42">
        <f>B47/B41</f>
        <v>0.12190875236796855</v>
      </c>
    </row>
    <row r="48" spans="1:7" x14ac:dyDescent="0.25">
      <c r="A48" s="41"/>
      <c r="B48" s="10">
        <f>B41-G64</f>
        <v>24381.750473593711</v>
      </c>
    </row>
    <row r="49" spans="1:7" ht="30" x14ac:dyDescent="0.25">
      <c r="A49" s="43" t="s">
        <v>75</v>
      </c>
      <c r="B49" s="10">
        <f>-CUMIPMT(B45,B40,B41,1,B40,B43)</f>
        <v>134860.00000000087</v>
      </c>
    </row>
    <row r="50" spans="1:7" x14ac:dyDescent="0.25">
      <c r="A50" s="43"/>
      <c r="B50" s="10">
        <f>-Таблица1[[#Totals],[Процент]]</f>
        <v>134860.00000000081</v>
      </c>
    </row>
    <row r="52" spans="1:7" ht="45.75" thickBot="1" x14ac:dyDescent="0.3">
      <c r="A52" s="29" t="s">
        <v>31</v>
      </c>
      <c r="B52" s="29" t="s">
        <v>33</v>
      </c>
      <c r="C52" s="30" t="s">
        <v>32</v>
      </c>
      <c r="D52" s="30" t="s">
        <v>34</v>
      </c>
      <c r="E52" s="30" t="s">
        <v>35</v>
      </c>
      <c r="F52" s="29" t="s">
        <v>46</v>
      </c>
      <c r="G52" s="31" t="s">
        <v>36</v>
      </c>
    </row>
    <row r="53" spans="1:7" ht="15.75" thickTop="1" x14ac:dyDescent="0.25">
      <c r="A53" s="32">
        <v>1</v>
      </c>
      <c r="B53" s="33">
        <f>$B$41+SUM($D$52:D52)</f>
        <v>200000</v>
      </c>
      <c r="C53" s="33">
        <f>$B$42</f>
        <v>-5581</v>
      </c>
      <c r="D53" s="33">
        <f t="shared" ref="D53:D84" si="0">PPMT($B$45,A53,$B$40,$B$41,0,$B$43)</f>
        <v>-1830.6923998201858</v>
      </c>
      <c r="E53" s="33">
        <f t="shared" ref="E53:E84" si="1">IPMT($B$45,A53,$B$40,$B$41,,$B$43)</f>
        <v>-3750.3076001798286</v>
      </c>
      <c r="F53" s="33">
        <f>SUM($D$18:D53)</f>
        <v>-1830.6923998201858</v>
      </c>
      <c r="G53" s="34">
        <f>B53+D53</f>
        <v>198169.3076001798</v>
      </c>
    </row>
    <row r="54" spans="1:7" x14ac:dyDescent="0.25">
      <c r="A54" s="32">
        <v>2</v>
      </c>
      <c r="B54" s="33">
        <f>$B$41+SUM($D$52:D53)</f>
        <v>198169.3076001798</v>
      </c>
      <c r="C54" s="33">
        <f t="shared" ref="C54:C112" si="2">$B$42</f>
        <v>-5581</v>
      </c>
      <c r="D54" s="33">
        <f t="shared" si="0"/>
        <v>-1865.0206979233712</v>
      </c>
      <c r="E54" s="33">
        <f t="shared" si="1"/>
        <v>-3715.9793020766438</v>
      </c>
      <c r="F54" s="33">
        <f>SUM($D$18:D54)</f>
        <v>-3695.7130977435572</v>
      </c>
      <c r="G54" s="34">
        <f t="shared" ref="G54:G62" si="3">B54+D54</f>
        <v>196304.28690225643</v>
      </c>
    </row>
    <row r="55" spans="1:7" x14ac:dyDescent="0.25">
      <c r="A55" s="32">
        <v>3</v>
      </c>
      <c r="B55" s="33">
        <f>$B$41+SUM($D$52:D54)</f>
        <v>196304.28690225646</v>
      </c>
      <c r="C55" s="33">
        <f t="shared" si="2"/>
        <v>-5581</v>
      </c>
      <c r="D55" s="33">
        <f t="shared" si="0"/>
        <v>-1899.9927044129447</v>
      </c>
      <c r="E55" s="33">
        <f t="shared" si="1"/>
        <v>-3681.0072955870701</v>
      </c>
      <c r="F55" s="33">
        <f>SUM($D$18:D55)</f>
        <v>-5595.7058021565017</v>
      </c>
      <c r="G55" s="34">
        <f t="shared" si="3"/>
        <v>194404.2941978435</v>
      </c>
    </row>
    <row r="56" spans="1:7" x14ac:dyDescent="0.25">
      <c r="A56" s="32">
        <v>4</v>
      </c>
      <c r="B56" s="33">
        <f>$B$41+SUM($D$52:D55)</f>
        <v>194404.2941978435</v>
      </c>
      <c r="C56" s="33">
        <f t="shared" si="2"/>
        <v>-5581</v>
      </c>
      <c r="D56" s="33">
        <f t="shared" si="0"/>
        <v>-1935.6204898111753</v>
      </c>
      <c r="E56" s="33">
        <f t="shared" si="1"/>
        <v>-3645.379510188839</v>
      </c>
      <c r="F56" s="33">
        <f>SUM($D$18:D56)</f>
        <v>-7531.3262919676772</v>
      </c>
      <c r="G56" s="34">
        <f t="shared" si="3"/>
        <v>192468.67370803232</v>
      </c>
    </row>
    <row r="57" spans="1:7" x14ac:dyDescent="0.25">
      <c r="A57" s="32">
        <v>5</v>
      </c>
      <c r="B57" s="33">
        <f>$B$41+SUM($D$52:D56)</f>
        <v>192468.67370803232</v>
      </c>
      <c r="C57" s="33">
        <f t="shared" si="2"/>
        <v>-5581</v>
      </c>
      <c r="D57" s="33">
        <f t="shared" si="0"/>
        <v>-1971.9163509811883</v>
      </c>
      <c r="E57" s="33">
        <f t="shared" si="1"/>
        <v>-3609.0836490188258</v>
      </c>
      <c r="F57" s="33">
        <f>SUM($D$18:D57)</f>
        <v>-9503.242642948866</v>
      </c>
      <c r="G57" s="34">
        <f t="shared" si="3"/>
        <v>190496.75735705113</v>
      </c>
    </row>
    <row r="58" spans="1:7" x14ac:dyDescent="0.25">
      <c r="A58" s="32">
        <v>6</v>
      </c>
      <c r="B58" s="33">
        <f>$B$41+SUM($D$52:D57)</f>
        <v>190496.75735705113</v>
      </c>
      <c r="C58" s="33">
        <f t="shared" si="2"/>
        <v>-5581</v>
      </c>
      <c r="D58" s="33">
        <f t="shared" si="0"/>
        <v>-2008.8928153712066</v>
      </c>
      <c r="E58" s="33">
        <f t="shared" si="1"/>
        <v>-3572.1071846288082</v>
      </c>
      <c r="F58" s="33">
        <f>SUM($D$18:D58)</f>
        <v>-11512.135458320072</v>
      </c>
      <c r="G58" s="34">
        <f t="shared" si="3"/>
        <v>188487.86454167991</v>
      </c>
    </row>
    <row r="59" spans="1:7" x14ac:dyDescent="0.25">
      <c r="A59" s="32">
        <v>7</v>
      </c>
      <c r="B59" s="33">
        <f>$B$41+SUM($D$52:D58)</f>
        <v>188487.86454167994</v>
      </c>
      <c r="C59" s="33">
        <f t="shared" si="2"/>
        <v>-5581</v>
      </c>
      <c r="D59" s="33">
        <f t="shared" si="0"/>
        <v>-2046.5626453383729</v>
      </c>
      <c r="E59" s="33">
        <f t="shared" si="1"/>
        <v>-3534.4373546616412</v>
      </c>
      <c r="F59" s="33">
        <f>SUM($D$18:D59)</f>
        <v>-13558.698103658444</v>
      </c>
      <c r="G59" s="34">
        <f t="shared" si="3"/>
        <v>186441.30189634158</v>
      </c>
    </row>
    <row r="60" spans="1:7" x14ac:dyDescent="0.25">
      <c r="A60" s="32">
        <v>8</v>
      </c>
      <c r="B60" s="33">
        <f>$B$41+SUM($D$52:D59)</f>
        <v>186441.30189634155</v>
      </c>
      <c r="C60" s="33">
        <f t="shared" si="2"/>
        <v>-5581</v>
      </c>
      <c r="D60" s="33">
        <f t="shared" si="0"/>
        <v>-2084.9388425536563</v>
      </c>
      <c r="E60" s="33">
        <f t="shared" si="1"/>
        <v>-3496.0611574463583</v>
      </c>
      <c r="F60" s="33">
        <f>SUM($D$18:D60)</f>
        <v>-15643.6369462121</v>
      </c>
      <c r="G60" s="34">
        <f t="shared" si="3"/>
        <v>184356.36305378791</v>
      </c>
    </row>
    <row r="61" spans="1:7" x14ac:dyDescent="0.25">
      <c r="A61" s="32">
        <v>9</v>
      </c>
      <c r="B61" s="33">
        <f>$B$41+SUM($D$52:D60)</f>
        <v>184356.36305378791</v>
      </c>
      <c r="C61" s="33">
        <f t="shared" si="2"/>
        <v>-5581</v>
      </c>
      <c r="D61" s="33">
        <f t="shared" si="0"/>
        <v>-2124.0346524893516</v>
      </c>
      <c r="E61" s="33">
        <f t="shared" si="1"/>
        <v>-3456.9653475106625</v>
      </c>
      <c r="F61" s="33">
        <f>SUM($D$18:D61)</f>
        <v>-17767.67159870145</v>
      </c>
      <c r="G61" s="34">
        <f t="shared" si="3"/>
        <v>182232.32840129855</v>
      </c>
    </row>
    <row r="62" spans="1:7" x14ac:dyDescent="0.25">
      <c r="A62" s="32">
        <v>10</v>
      </c>
      <c r="B62" s="33">
        <f>$B$41+SUM($D$52:D61)</f>
        <v>182232.32840129855</v>
      </c>
      <c r="C62" s="33">
        <f t="shared" si="2"/>
        <v>-5581</v>
      </c>
      <c r="D62" s="33">
        <f t="shared" si="0"/>
        <v>-2163.8635689907323</v>
      </c>
      <c r="E62" s="33">
        <f t="shared" si="1"/>
        <v>-3417.1364310092822</v>
      </c>
      <c r="F62" s="33">
        <f>SUM($D$18:D62)</f>
        <v>-19931.535167692182</v>
      </c>
      <c r="G62" s="34">
        <f t="shared" si="3"/>
        <v>180068.46483230783</v>
      </c>
    </row>
    <row r="63" spans="1:7" x14ac:dyDescent="0.25">
      <c r="A63" s="32">
        <v>11</v>
      </c>
      <c r="B63" s="33">
        <f>$B$41+SUM($D$52:D62)</f>
        <v>180068.46483230783</v>
      </c>
      <c r="C63" s="33">
        <f t="shared" si="2"/>
        <v>-5581</v>
      </c>
      <c r="D63" s="33">
        <f t="shared" si="0"/>
        <v>-2204.4393389334232</v>
      </c>
      <c r="E63" s="33">
        <f t="shared" si="1"/>
        <v>-3376.5606610665914</v>
      </c>
      <c r="F63" s="33">
        <f>SUM($D$18:D63)</f>
        <v>-22135.974506625604</v>
      </c>
      <c r="G63" s="34">
        <f t="shared" ref="G63:G88" si="4">B63+D63</f>
        <v>177864.02549337441</v>
      </c>
    </row>
    <row r="64" spans="1:7" x14ac:dyDescent="0.25">
      <c r="A64" s="32">
        <v>12</v>
      </c>
      <c r="B64" s="33">
        <f>$B$41+SUM($D$52:D63)</f>
        <v>177864.02549337439</v>
      </c>
      <c r="C64" s="33">
        <f t="shared" si="2"/>
        <v>-5581</v>
      </c>
      <c r="D64" s="33">
        <f t="shared" si="0"/>
        <v>-2245.77596696811</v>
      </c>
      <c r="E64" s="33">
        <f t="shared" si="1"/>
        <v>-3335.2240330319037</v>
      </c>
      <c r="F64" s="33">
        <f>SUM($D$18:D64)</f>
        <v>-24381.750473593715</v>
      </c>
      <c r="G64" s="35">
        <f t="shared" si="4"/>
        <v>175618.24952640629</v>
      </c>
    </row>
    <row r="65" spans="1:7" x14ac:dyDescent="0.25">
      <c r="A65" s="32">
        <v>13</v>
      </c>
      <c r="B65" s="33">
        <f>$B$41+SUM($D$52:D64)</f>
        <v>175618.24952640629</v>
      </c>
      <c r="C65" s="33">
        <f t="shared" si="2"/>
        <v>-5581</v>
      </c>
      <c r="D65" s="33">
        <f t="shared" si="0"/>
        <v>-2287.8877203542188</v>
      </c>
      <c r="E65" s="33">
        <f t="shared" si="1"/>
        <v>-3293.1122796457948</v>
      </c>
      <c r="F65" s="33">
        <f>SUM($D$18:D65)</f>
        <v>-26669.638193947932</v>
      </c>
      <c r="G65" s="34">
        <f t="shared" si="4"/>
        <v>173330.36180605207</v>
      </c>
    </row>
    <row r="66" spans="1:7" x14ac:dyDescent="0.25">
      <c r="A66" s="32">
        <v>14</v>
      </c>
      <c r="B66" s="33">
        <f>$B$41+SUM($D$52:D65)</f>
        <v>173330.36180605207</v>
      </c>
      <c r="C66" s="33">
        <f t="shared" si="2"/>
        <v>-5581</v>
      </c>
      <c r="D66" s="33">
        <f t="shared" si="0"/>
        <v>-2330.789133884231</v>
      </c>
      <c r="E66" s="33">
        <f t="shared" si="1"/>
        <v>-3250.2108661157822</v>
      </c>
      <c r="F66" s="33">
        <f>SUM($D$18:D66)</f>
        <v>-29000.427327832163</v>
      </c>
      <c r="G66" s="34">
        <f t="shared" si="4"/>
        <v>170999.57267216785</v>
      </c>
    </row>
    <row r="67" spans="1:7" x14ac:dyDescent="0.25">
      <c r="A67" s="32">
        <v>15</v>
      </c>
      <c r="B67" s="33">
        <f>$B$41+SUM($D$52:D66)</f>
        <v>170999.57267216785</v>
      </c>
      <c r="C67" s="33">
        <f t="shared" si="2"/>
        <v>-5581</v>
      </c>
      <c r="D67" s="33">
        <f t="shared" si="0"/>
        <v>-2374.4950149003448</v>
      </c>
      <c r="E67" s="33">
        <f t="shared" si="1"/>
        <v>-3206.5049850996702</v>
      </c>
      <c r="F67" s="33">
        <f>SUM($D$18:D67)</f>
        <v>-31374.922342732509</v>
      </c>
      <c r="G67" s="34">
        <f t="shared" si="4"/>
        <v>168625.07765726751</v>
      </c>
    </row>
    <row r="68" spans="1:7" x14ac:dyDescent="0.25">
      <c r="A68" s="32">
        <v>16</v>
      </c>
      <c r="B68" s="33">
        <f>$B$41+SUM($D$52:D67)</f>
        <v>168625.07765726748</v>
      </c>
      <c r="C68" s="33">
        <f t="shared" si="2"/>
        <v>-5581</v>
      </c>
      <c r="D68" s="33">
        <f t="shared" si="0"/>
        <v>-2419.0204484051937</v>
      </c>
      <c r="E68" s="33">
        <f t="shared" si="1"/>
        <v>-3161.9795515948208</v>
      </c>
      <c r="F68" s="33">
        <f>SUM($D$18:D68)</f>
        <v>-33793.942791137699</v>
      </c>
      <c r="G68" s="34">
        <f t="shared" si="4"/>
        <v>166206.05720886227</v>
      </c>
    </row>
    <row r="69" spans="1:7" x14ac:dyDescent="0.25">
      <c r="A69" s="32">
        <v>17</v>
      </c>
      <c r="B69" s="33">
        <f>$B$41+SUM($D$52:D68)</f>
        <v>166206.0572088623</v>
      </c>
      <c r="C69" s="33">
        <f t="shared" si="2"/>
        <v>-5581</v>
      </c>
      <c r="D69" s="33">
        <f t="shared" si="0"/>
        <v>-2464.3808022684161</v>
      </c>
      <c r="E69" s="33">
        <f t="shared" si="1"/>
        <v>-3116.6191977315984</v>
      </c>
      <c r="F69" s="33">
        <f>SUM($D$18:D69)</f>
        <v>-36258.323593406116</v>
      </c>
      <c r="G69" s="34">
        <f t="shared" si="4"/>
        <v>163741.67640659388</v>
      </c>
    </row>
    <row r="70" spans="1:7" x14ac:dyDescent="0.25">
      <c r="A70" s="32">
        <v>18</v>
      </c>
      <c r="B70" s="33">
        <f>$B$41+SUM($D$52:D69)</f>
        <v>163741.67640659388</v>
      </c>
      <c r="C70" s="33">
        <f t="shared" si="2"/>
        <v>-5581</v>
      </c>
      <c r="D70" s="33">
        <f t="shared" si="0"/>
        <v>-2510.5917325308383</v>
      </c>
      <c r="E70" s="33">
        <f t="shared" si="1"/>
        <v>-3070.4082674691767</v>
      </c>
      <c r="F70" s="33">
        <f>SUM($D$18:D70)</f>
        <v>-38768.915325936956</v>
      </c>
      <c r="G70" s="34">
        <f t="shared" si="4"/>
        <v>161231.08467406305</v>
      </c>
    </row>
    <row r="71" spans="1:7" x14ac:dyDescent="0.25">
      <c r="A71" s="32">
        <v>19</v>
      </c>
      <c r="B71" s="33">
        <f>$B$41+SUM($D$52:D70)</f>
        <v>161231.08467406305</v>
      </c>
      <c r="C71" s="33">
        <f t="shared" si="2"/>
        <v>-5581</v>
      </c>
      <c r="D71" s="33">
        <f t="shared" si="0"/>
        <v>-2557.6691888081336</v>
      </c>
      <c r="E71" s="33">
        <f t="shared" si="1"/>
        <v>-3023.3308111918809</v>
      </c>
      <c r="F71" s="33">
        <f>SUM($D$18:D71)</f>
        <v>-41326.584514745089</v>
      </c>
      <c r="G71" s="34">
        <f t="shared" si="4"/>
        <v>158673.41548525493</v>
      </c>
    </row>
    <row r="72" spans="1:7" x14ac:dyDescent="0.25">
      <c r="A72" s="32">
        <v>20</v>
      </c>
      <c r="B72" s="33">
        <f>$B$41+SUM($D$52:D71)</f>
        <v>158673.4154852549</v>
      </c>
      <c r="C72" s="33">
        <f t="shared" si="2"/>
        <v>-5581</v>
      </c>
      <c r="D72" s="33">
        <f t="shared" si="0"/>
        <v>-2605.6294197957982</v>
      </c>
      <c r="E72" s="33">
        <f t="shared" si="1"/>
        <v>-2975.3705802042164</v>
      </c>
      <c r="F72" s="33">
        <f>SUM($D$18:D72)</f>
        <v>-43932.213934540887</v>
      </c>
      <c r="G72" s="34">
        <f t="shared" si="4"/>
        <v>156067.78606545911</v>
      </c>
    </row>
    <row r="73" spans="1:7" x14ac:dyDescent="0.25">
      <c r="A73" s="32">
        <v>21</v>
      </c>
      <c r="B73" s="33">
        <f>$B$41+SUM($D$52:D72)</f>
        <v>156067.78606545911</v>
      </c>
      <c r="C73" s="33">
        <f t="shared" si="2"/>
        <v>-5581</v>
      </c>
      <c r="D73" s="33">
        <f t="shared" si="0"/>
        <v>-2654.4889788773598</v>
      </c>
      <c r="E73" s="33">
        <f t="shared" si="1"/>
        <v>-2926.5110211226552</v>
      </c>
      <c r="F73" s="33">
        <f>SUM($D$18:D73)</f>
        <v>-46586.702913418245</v>
      </c>
      <c r="G73" s="34">
        <f t="shared" si="4"/>
        <v>153413.29708658173</v>
      </c>
    </row>
    <row r="74" spans="1:7" x14ac:dyDescent="0.25">
      <c r="A74" s="32">
        <v>22</v>
      </c>
      <c r="B74" s="33">
        <f>$B$41+SUM($D$52:D73)</f>
        <v>153413.29708658176</v>
      </c>
      <c r="C74" s="33">
        <f t="shared" si="2"/>
        <v>-5581</v>
      </c>
      <c r="D74" s="33">
        <f t="shared" si="0"/>
        <v>-2704.2647298377469</v>
      </c>
      <c r="E74" s="33">
        <f t="shared" si="1"/>
        <v>-2876.7352701622676</v>
      </c>
      <c r="F74" s="33">
        <f>SUM($D$18:D74)</f>
        <v>-49290.967643255994</v>
      </c>
      <c r="G74" s="34">
        <f t="shared" si="4"/>
        <v>150709.03235674402</v>
      </c>
    </row>
    <row r="75" spans="1:7" x14ac:dyDescent="0.25">
      <c r="A75" s="32">
        <v>23</v>
      </c>
      <c r="B75" s="33">
        <f>$B$41+SUM($D$52:D74)</f>
        <v>150709.03235674399</v>
      </c>
      <c r="C75" s="33">
        <f t="shared" si="2"/>
        <v>-5581</v>
      </c>
      <c r="D75" s="33">
        <f t="shared" si="0"/>
        <v>-2754.9738526837905</v>
      </c>
      <c r="E75" s="33">
        <f t="shared" si="1"/>
        <v>-2826.0261473162245</v>
      </c>
      <c r="F75" s="33">
        <f>SUM($D$18:D75)</f>
        <v>-52045.941495939784</v>
      </c>
      <c r="G75" s="34">
        <f t="shared" si="4"/>
        <v>147954.0585040602</v>
      </c>
    </row>
    <row r="76" spans="1:7" x14ac:dyDescent="0.25">
      <c r="A76" s="32">
        <v>24</v>
      </c>
      <c r="B76" s="33">
        <f>$B$41+SUM($D$52:D75)</f>
        <v>147954.0585040602</v>
      </c>
      <c r="C76" s="33">
        <f t="shared" si="2"/>
        <v>-5581</v>
      </c>
      <c r="D76" s="33">
        <f t="shared" si="0"/>
        <v>-2806.6338495738742</v>
      </c>
      <c r="E76" s="33">
        <f t="shared" si="1"/>
        <v>-2774.3661504261404</v>
      </c>
      <c r="F76" s="33">
        <f>SUM($D$18:D76)</f>
        <v>-54852.575345513658</v>
      </c>
      <c r="G76" s="34">
        <f t="shared" si="4"/>
        <v>145147.42465448633</v>
      </c>
    </row>
    <row r="77" spans="1:7" x14ac:dyDescent="0.25">
      <c r="A77" s="32">
        <v>25</v>
      </c>
      <c r="B77" s="33">
        <f>$B$41+SUM($D$52:D76)</f>
        <v>145147.42465448636</v>
      </c>
      <c r="C77" s="33">
        <f t="shared" si="2"/>
        <v>-5581</v>
      </c>
      <c r="D77" s="33">
        <f t="shared" si="0"/>
        <v>-2859.2625508587685</v>
      </c>
      <c r="E77" s="33">
        <f t="shared" si="1"/>
        <v>-2721.7374491412461</v>
      </c>
      <c r="F77" s="33">
        <f>SUM($D$18:D77)</f>
        <v>-57711.837896372424</v>
      </c>
      <c r="G77" s="34">
        <f t="shared" si="4"/>
        <v>142288.16210362758</v>
      </c>
    </row>
    <row r="78" spans="1:7" x14ac:dyDescent="0.25">
      <c r="A78" s="32">
        <v>26</v>
      </c>
      <c r="B78" s="33">
        <f>$B$41+SUM($D$52:D77)</f>
        <v>142288.16210362758</v>
      </c>
      <c r="C78" s="33">
        <f t="shared" si="2"/>
        <v>-5581</v>
      </c>
      <c r="D78" s="33">
        <f t="shared" si="0"/>
        <v>-2912.8781212357439</v>
      </c>
      <c r="E78" s="33">
        <f t="shared" si="1"/>
        <v>-2668.1218787642697</v>
      </c>
      <c r="F78" s="33">
        <f>SUM($D$18:D78)</f>
        <v>-60624.716017608167</v>
      </c>
      <c r="G78" s="34">
        <f t="shared" si="4"/>
        <v>139375.28398239182</v>
      </c>
    </row>
    <row r="79" spans="1:7" x14ac:dyDescent="0.25">
      <c r="A79" s="32">
        <v>27</v>
      </c>
      <c r="B79" s="33">
        <f>$B$41+SUM($D$52:D78)</f>
        <v>139375.28398239182</v>
      </c>
      <c r="C79" s="33">
        <f t="shared" si="2"/>
        <v>-5581</v>
      </c>
      <c r="D79" s="33">
        <f t="shared" si="0"/>
        <v>-2967.4990660180842</v>
      </c>
      <c r="E79" s="33">
        <f t="shared" si="1"/>
        <v>-2613.5009339819303</v>
      </c>
      <c r="F79" s="33">
        <f>SUM($D$18:D79)</f>
        <v>-63592.215083626252</v>
      </c>
      <c r="G79" s="34">
        <f t="shared" si="4"/>
        <v>136407.78491637373</v>
      </c>
    </row>
    <row r="80" spans="1:7" x14ac:dyDescent="0.25">
      <c r="A80" s="32">
        <v>28</v>
      </c>
      <c r="B80" s="33">
        <f>$B$41+SUM($D$52:D79)</f>
        <v>136407.78491637376</v>
      </c>
      <c r="C80" s="33">
        <f t="shared" si="2"/>
        <v>-5581</v>
      </c>
      <c r="D80" s="33">
        <f t="shared" si="0"/>
        <v>-3023.144237522155</v>
      </c>
      <c r="E80" s="33">
        <f t="shared" si="1"/>
        <v>-2557.8557624778591</v>
      </c>
      <c r="F80" s="33">
        <f>SUM($D$18:D80)</f>
        <v>-66615.359321148411</v>
      </c>
      <c r="G80" s="34">
        <f t="shared" si="4"/>
        <v>133384.6406788516</v>
      </c>
    </row>
    <row r="81" spans="1:7" x14ac:dyDescent="0.25">
      <c r="A81" s="32">
        <v>29</v>
      </c>
      <c r="B81" s="33">
        <f>$B$41+SUM($D$52:D80)</f>
        <v>133384.64067885157</v>
      </c>
      <c r="C81" s="33">
        <f t="shared" si="2"/>
        <v>-5581</v>
      </c>
      <c r="D81" s="33">
        <f t="shared" si="0"/>
        <v>-3079.8328415742508</v>
      </c>
      <c r="E81" s="33">
        <f t="shared" si="1"/>
        <v>-2501.1671584257638</v>
      </c>
      <c r="F81" s="33">
        <f>SUM($D$18:D81)</f>
        <v>-69695.192162722669</v>
      </c>
      <c r="G81" s="34">
        <f t="shared" si="4"/>
        <v>130304.80783727733</v>
      </c>
    </row>
    <row r="82" spans="1:7" x14ac:dyDescent="0.25">
      <c r="A82" s="32">
        <v>30</v>
      </c>
      <c r="B82" s="33">
        <f>$B$41+SUM($D$52:D81)</f>
        <v>130304.80783727733</v>
      </c>
      <c r="C82" s="33">
        <f t="shared" si="2"/>
        <v>-5581</v>
      </c>
      <c r="D82" s="33">
        <f t="shared" si="0"/>
        <v>-3137.584444139447</v>
      </c>
      <c r="E82" s="33">
        <f t="shared" si="1"/>
        <v>-2443.4155558605671</v>
      </c>
      <c r="F82" s="33">
        <f>SUM($D$18:D82)</f>
        <v>-72832.776606862113</v>
      </c>
      <c r="G82" s="34">
        <f t="shared" si="4"/>
        <v>127167.22339313789</v>
      </c>
    </row>
    <row r="83" spans="1:7" x14ac:dyDescent="0.25">
      <c r="A83" s="32">
        <v>31</v>
      </c>
      <c r="B83" s="33">
        <f>$B$41+SUM($D$52:D82)</f>
        <v>127167.22339313789</v>
      </c>
      <c r="C83" s="33">
        <f t="shared" si="2"/>
        <v>-5581</v>
      </c>
      <c r="D83" s="33">
        <f t="shared" si="0"/>
        <v>-3196.4189780747583</v>
      </c>
      <c r="E83" s="33">
        <f t="shared" si="1"/>
        <v>-2384.5810219252558</v>
      </c>
      <c r="F83" s="33">
        <f>SUM($D$18:D83)</f>
        <v>-76029.195584936868</v>
      </c>
      <c r="G83" s="34">
        <f t="shared" si="4"/>
        <v>123970.80441506313</v>
      </c>
    </row>
    <row r="84" spans="1:7" x14ac:dyDescent="0.25">
      <c r="A84" s="32">
        <v>32</v>
      </c>
      <c r="B84" s="33">
        <f>$B$41+SUM($D$52:D83)</f>
        <v>123970.80441506313</v>
      </c>
      <c r="C84" s="33">
        <f t="shared" si="2"/>
        <v>-5581</v>
      </c>
      <c r="D84" s="33">
        <f t="shared" si="0"/>
        <v>-3256.3567500089221</v>
      </c>
      <c r="E84" s="33">
        <f t="shared" si="1"/>
        <v>-2324.643249991092</v>
      </c>
      <c r="F84" s="33">
        <f>SUM($D$18:D84)</f>
        <v>-79285.552334945794</v>
      </c>
      <c r="G84" s="34">
        <f t="shared" si="4"/>
        <v>120714.44766505421</v>
      </c>
    </row>
    <row r="85" spans="1:7" x14ac:dyDescent="0.25">
      <c r="A85" s="32">
        <v>33</v>
      </c>
      <c r="B85" s="33">
        <f>$B$41+SUM($D$52:D84)</f>
        <v>120714.44766505421</v>
      </c>
      <c r="C85" s="33">
        <f t="shared" si="2"/>
        <v>-5581</v>
      </c>
      <c r="D85" s="33">
        <f t="shared" ref="D85:D112" si="5">PPMT($B$45,A85,$B$40,$B$41,0,$B$43)</f>
        <v>-3317.4184473511991</v>
      </c>
      <c r="E85" s="33">
        <f t="shared" ref="E85:E112" si="6">IPMT($B$45,A85,$B$40,$B$41,,$B$43)</f>
        <v>-2263.581552648815</v>
      </c>
      <c r="F85" s="33">
        <f>SUM($D$18:D85)</f>
        <v>-82602.970782296994</v>
      </c>
      <c r="G85" s="34">
        <f t="shared" si="4"/>
        <v>117397.02921770301</v>
      </c>
    </row>
    <row r="86" spans="1:7" x14ac:dyDescent="0.25">
      <c r="A86" s="32">
        <v>34</v>
      </c>
      <c r="B86" s="33">
        <f>$B$41+SUM($D$52:D85)</f>
        <v>117397.02921770301</v>
      </c>
      <c r="C86" s="33">
        <f t="shared" si="2"/>
        <v>-5581</v>
      </c>
      <c r="D86" s="33">
        <f t="shared" si="5"/>
        <v>-3379.6251454315889</v>
      </c>
      <c r="E86" s="33">
        <f t="shared" si="6"/>
        <v>-2201.3748545684257</v>
      </c>
      <c r="F86" s="33">
        <f>SUM($D$18:D86)</f>
        <v>-85982.595927728587</v>
      </c>
      <c r="G86" s="34">
        <f t="shared" si="4"/>
        <v>114017.40407227141</v>
      </c>
    </row>
    <row r="87" spans="1:7" x14ac:dyDescent="0.25">
      <c r="A87" s="32">
        <v>35</v>
      </c>
      <c r="B87" s="33">
        <f>$B$41+SUM($D$52:D86)</f>
        <v>114017.40407227141</v>
      </c>
      <c r="C87" s="33">
        <f t="shared" si="2"/>
        <v>-5581</v>
      </c>
      <c r="D87" s="33">
        <f t="shared" si="5"/>
        <v>-3442.9983147749435</v>
      </c>
      <c r="E87" s="33">
        <f t="shared" si="6"/>
        <v>-2138.001685225071</v>
      </c>
      <c r="F87" s="33">
        <f>SUM($D$18:D87)</f>
        <v>-89425.594242503532</v>
      </c>
      <c r="G87" s="34">
        <f t="shared" si="4"/>
        <v>110574.40575749647</v>
      </c>
    </row>
    <row r="88" spans="1:7" x14ac:dyDescent="0.25">
      <c r="A88" s="32">
        <v>36</v>
      </c>
      <c r="B88" s="33">
        <f>$B$41+SUM($D$52:D87)</f>
        <v>110574.40575749647</v>
      </c>
      <c r="C88" s="33">
        <f t="shared" si="2"/>
        <v>-5581</v>
      </c>
      <c r="D88" s="33">
        <f t="shared" si="5"/>
        <v>-3507.5598285114775</v>
      </c>
      <c r="E88" s="33">
        <f t="shared" si="6"/>
        <v>-2073.4401714885366</v>
      </c>
      <c r="F88" s="33">
        <f>SUM($D$18:D88)</f>
        <v>-92933.154071015015</v>
      </c>
      <c r="G88" s="34">
        <f t="shared" si="4"/>
        <v>107066.84592898499</v>
      </c>
    </row>
    <row r="89" spans="1:7" x14ac:dyDescent="0.25">
      <c r="A89" s="32">
        <v>37</v>
      </c>
      <c r="B89" s="33">
        <f>$B$41+SUM($D$52:D88)</f>
        <v>107066.84592898499</v>
      </c>
      <c r="C89" s="33">
        <f>$B$42</f>
        <v>-5581</v>
      </c>
      <c r="D89" s="33">
        <f t="shared" si="5"/>
        <v>-3573.3319699262379</v>
      </c>
      <c r="E89" s="33">
        <f t="shared" si="6"/>
        <v>-2007.6680300737769</v>
      </c>
      <c r="F89" s="33">
        <f>SUM($D$18:D89)</f>
        <v>-96506.48604094125</v>
      </c>
      <c r="G89" s="34">
        <f>B89+D89</f>
        <v>103493.51395905875</v>
      </c>
    </row>
    <row r="90" spans="1:7" x14ac:dyDescent="0.25">
      <c r="A90" s="32">
        <v>38</v>
      </c>
      <c r="B90" s="33">
        <f>$B$41+SUM($D$52:D89)</f>
        <v>103493.51395905875</v>
      </c>
      <c r="C90" s="33">
        <f t="shared" si="2"/>
        <v>-5581</v>
      </c>
      <c r="D90" s="33">
        <f t="shared" si="5"/>
        <v>-3640.3374401501378</v>
      </c>
      <c r="E90" s="33">
        <f t="shared" si="6"/>
        <v>-1940.662559849877</v>
      </c>
      <c r="F90" s="33">
        <f>SUM($D$18:D90)</f>
        <v>-100146.82348109139</v>
      </c>
      <c r="G90" s="34">
        <f t="shared" ref="G90:G112" si="7">B90+D90</f>
        <v>99853.176518908615</v>
      </c>
    </row>
    <row r="91" spans="1:7" x14ac:dyDescent="0.25">
      <c r="A91" s="32">
        <v>39</v>
      </c>
      <c r="B91" s="33">
        <f>$B$41+SUM($D$52:D90)</f>
        <v>99853.176518908615</v>
      </c>
      <c r="C91" s="33">
        <f t="shared" si="2"/>
        <v>-5581</v>
      </c>
      <c r="D91" s="33">
        <f t="shared" si="5"/>
        <v>-3708.5993659952092</v>
      </c>
      <c r="E91" s="33">
        <f t="shared" si="6"/>
        <v>-1872.4006340048059</v>
      </c>
      <c r="F91" s="33">
        <f>SUM($D$18:D91)</f>
        <v>-103855.42284708659</v>
      </c>
      <c r="G91" s="34">
        <f t="shared" si="7"/>
        <v>96144.577152913407</v>
      </c>
    </row>
    <row r="92" spans="1:7" x14ac:dyDescent="0.25">
      <c r="A92" s="32">
        <v>40</v>
      </c>
      <c r="B92" s="33">
        <f>$B$41+SUM($D$52:D91)</f>
        <v>96144.577152913407</v>
      </c>
      <c r="C92" s="33">
        <f t="shared" si="2"/>
        <v>-5581</v>
      </c>
      <c r="D92" s="33">
        <f t="shared" si="5"/>
        <v>-3778.141307936778</v>
      </c>
      <c r="E92" s="33">
        <f t="shared" si="6"/>
        <v>-1802.8586920632358</v>
      </c>
      <c r="F92" s="33">
        <f>SUM($D$18:D92)</f>
        <v>-107633.56415502337</v>
      </c>
      <c r="G92" s="34">
        <f t="shared" si="7"/>
        <v>92366.43584497663</v>
      </c>
    </row>
    <row r="93" spans="1:7" x14ac:dyDescent="0.25">
      <c r="A93" s="32">
        <v>41</v>
      </c>
      <c r="B93" s="33">
        <f>$B$41+SUM($D$52:D92)</f>
        <v>92366.43584497663</v>
      </c>
      <c r="C93" s="33">
        <f t="shared" si="2"/>
        <v>-5581</v>
      </c>
      <c r="D93" s="33">
        <f t="shared" si="5"/>
        <v>-3848.9872682453215</v>
      </c>
      <c r="E93" s="33">
        <f t="shared" si="6"/>
        <v>-1732.0127317546928</v>
      </c>
      <c r="F93" s="33">
        <f>SUM($D$18:D93)</f>
        <v>-111482.5514232687</v>
      </c>
      <c r="G93" s="34">
        <f t="shared" si="7"/>
        <v>88517.448576731302</v>
      </c>
    </row>
    <row r="94" spans="1:7" x14ac:dyDescent="0.25">
      <c r="A94" s="32">
        <v>42</v>
      </c>
      <c r="B94" s="33">
        <f>$B$41+SUM($D$52:D93)</f>
        <v>88517.448576731302</v>
      </c>
      <c r="C94" s="33">
        <f t="shared" si="2"/>
        <v>-5581</v>
      </c>
      <c r="D94" s="33">
        <f t="shared" si="5"/>
        <v>-3921.1616992708009</v>
      </c>
      <c r="E94" s="33">
        <f t="shared" si="6"/>
        <v>-1659.8383007292136</v>
      </c>
      <c r="F94" s="33">
        <f>SUM($D$18:D94)</f>
        <v>-115403.7131225395</v>
      </c>
      <c r="G94" s="34">
        <f t="shared" si="7"/>
        <v>84596.286877460501</v>
      </c>
    </row>
    <row r="95" spans="1:7" x14ac:dyDescent="0.25">
      <c r="A95" s="32">
        <v>43</v>
      </c>
      <c r="B95" s="33">
        <f>$B$41+SUM($D$52:D94)</f>
        <v>84596.286877460501</v>
      </c>
      <c r="C95" s="33">
        <f t="shared" si="2"/>
        <v>-5581</v>
      </c>
      <c r="D95" s="33">
        <f t="shared" si="5"/>
        <v>-3994.6895118823477</v>
      </c>
      <c r="E95" s="33">
        <f t="shared" si="6"/>
        <v>-1586.3104881176673</v>
      </c>
      <c r="F95" s="33">
        <f>SUM($D$18:D95)</f>
        <v>-119398.40263442184</v>
      </c>
      <c r="G95" s="34">
        <f t="shared" si="7"/>
        <v>80601.597365578156</v>
      </c>
    </row>
    <row r="96" spans="1:7" x14ac:dyDescent="0.25">
      <c r="A96" s="32">
        <v>44</v>
      </c>
      <c r="B96" s="33">
        <f>$B$41+SUM($D$52:D95)</f>
        <v>80601.597365578156</v>
      </c>
      <c r="C96" s="33">
        <f t="shared" si="2"/>
        <v>-5581</v>
      </c>
      <c r="D96" s="33">
        <f t="shared" si="5"/>
        <v>-4069.5960840662028</v>
      </c>
      <c r="E96" s="33">
        <f t="shared" si="6"/>
        <v>-1511.403915933812</v>
      </c>
      <c r="F96" s="33">
        <f>SUM($D$18:D96)</f>
        <v>-123467.99871848804</v>
      </c>
      <c r="G96" s="34">
        <f t="shared" si="7"/>
        <v>76532.001281511955</v>
      </c>
    </row>
    <row r="97" spans="1:7" x14ac:dyDescent="0.25">
      <c r="A97" s="32">
        <v>45</v>
      </c>
      <c r="B97" s="33">
        <f>$B$41+SUM($D$52:D96)</f>
        <v>76532.001281511955</v>
      </c>
      <c r="C97" s="33">
        <f t="shared" si="2"/>
        <v>-5581</v>
      </c>
      <c r="D97" s="33">
        <f t="shared" si="5"/>
        <v>-4145.9072696848807</v>
      </c>
      <c r="E97" s="33">
        <f t="shared" si="6"/>
        <v>-1435.0927303151343</v>
      </c>
      <c r="F97" s="33">
        <f>SUM($D$18:D97)</f>
        <v>-127613.90598817292</v>
      </c>
      <c r="G97" s="34">
        <f t="shared" si="7"/>
        <v>72386.094011827081</v>
      </c>
    </row>
    <row r="98" spans="1:7" x14ac:dyDescent="0.25">
      <c r="A98" s="32">
        <v>46</v>
      </c>
      <c r="B98" s="33">
        <f>$B$41+SUM($D$52:D97)</f>
        <v>72386.094011827081</v>
      </c>
      <c r="C98" s="33">
        <f t="shared" si="2"/>
        <v>-5581</v>
      </c>
      <c r="D98" s="33">
        <f t="shared" si="5"/>
        <v>-4223.6494074005805</v>
      </c>
      <c r="E98" s="33">
        <f t="shared" si="6"/>
        <v>-1357.3505925994345</v>
      </c>
      <c r="F98" s="33">
        <f>SUM($D$18:D98)</f>
        <v>-131837.55539557349</v>
      </c>
      <c r="G98" s="34">
        <f t="shared" si="7"/>
        <v>68162.444604426506</v>
      </c>
    </row>
    <row r="99" spans="1:7" x14ac:dyDescent="0.25">
      <c r="A99" s="32">
        <v>47</v>
      </c>
      <c r="B99" s="33">
        <f>$B$41+SUM($D$52:D98)</f>
        <v>68162.444604426506</v>
      </c>
      <c r="C99" s="33">
        <f t="shared" si="2"/>
        <v>-5581</v>
      </c>
      <c r="D99" s="33">
        <f t="shared" si="5"/>
        <v>-4302.8493297659279</v>
      </c>
      <c r="E99" s="33">
        <f t="shared" si="6"/>
        <v>-1278.1506702340869</v>
      </c>
      <c r="F99" s="33">
        <f>SUM($D$18:D99)</f>
        <v>-136140.40472533941</v>
      </c>
      <c r="G99" s="34">
        <f t="shared" si="7"/>
        <v>63859.595274660576</v>
      </c>
    </row>
    <row r="100" spans="1:7" x14ac:dyDescent="0.25">
      <c r="A100" s="32">
        <v>48</v>
      </c>
      <c r="B100" s="33">
        <f>$B$41+SUM($D$52:D99)</f>
        <v>63859.595274660591</v>
      </c>
      <c r="C100" s="33">
        <f t="shared" si="2"/>
        <v>-5581</v>
      </c>
      <c r="D100" s="33">
        <f t="shared" si="5"/>
        <v>-4383.5343724851764</v>
      </c>
      <c r="E100" s="33">
        <f t="shared" si="6"/>
        <v>-1197.4656275148379</v>
      </c>
      <c r="F100" s="33">
        <f>SUM($D$18:D100)</f>
        <v>-140523.93909782459</v>
      </c>
      <c r="G100" s="34">
        <f t="shared" si="7"/>
        <v>59476.060902175414</v>
      </c>
    </row>
    <row r="101" spans="1:7" x14ac:dyDescent="0.25">
      <c r="A101" s="32">
        <v>49</v>
      </c>
      <c r="B101" s="33">
        <f>$B$41+SUM($D$52:D100)</f>
        <v>59476.060902175406</v>
      </c>
      <c r="C101" s="33">
        <f t="shared" si="2"/>
        <v>-5581</v>
      </c>
      <c r="D101" s="33">
        <f t="shared" si="5"/>
        <v>-4465.7323838490802</v>
      </c>
      <c r="E101" s="33">
        <f t="shared" si="6"/>
        <v>-1115.2676161509346</v>
      </c>
      <c r="F101" s="33">
        <f>SUM($D$18:D101)</f>
        <v>-144989.67148167366</v>
      </c>
      <c r="G101" s="34">
        <f t="shared" si="7"/>
        <v>55010.328518326329</v>
      </c>
    </row>
    <row r="102" spans="1:7" x14ac:dyDescent="0.25">
      <c r="A102" s="32">
        <v>50</v>
      </c>
      <c r="B102" s="33">
        <f>$B$41+SUM($D$52:D101)</f>
        <v>55010.328518326336</v>
      </c>
      <c r="C102" s="33">
        <f t="shared" si="2"/>
        <v>-5581</v>
      </c>
      <c r="D102" s="33">
        <f t="shared" si="5"/>
        <v>-4549.4717343466718</v>
      </c>
      <c r="E102" s="33">
        <f t="shared" si="6"/>
        <v>-1031.5282656533425</v>
      </c>
      <c r="F102" s="33">
        <f>SUM($D$18:D102)</f>
        <v>-149539.14321602034</v>
      </c>
      <c r="G102" s="34">
        <f t="shared" si="7"/>
        <v>50460.856783979667</v>
      </c>
    </row>
    <row r="103" spans="1:7" x14ac:dyDescent="0.25">
      <c r="A103" s="32">
        <v>51</v>
      </c>
      <c r="B103" s="33">
        <f>$B$41+SUM($D$52:D102)</f>
        <v>50460.85678397966</v>
      </c>
      <c r="C103" s="33">
        <f t="shared" si="2"/>
        <v>-5581</v>
      </c>
      <c r="D103" s="33">
        <f t="shared" si="5"/>
        <v>-4634.7813264572897</v>
      </c>
      <c r="E103" s="33">
        <f t="shared" si="6"/>
        <v>-946.21867354272456</v>
      </c>
      <c r="F103" s="33">
        <f>SUM($D$18:D103)</f>
        <v>-154173.92454247762</v>
      </c>
      <c r="G103" s="34">
        <f t="shared" si="7"/>
        <v>45826.075457522369</v>
      </c>
    </row>
    <row r="104" spans="1:7" x14ac:dyDescent="0.25">
      <c r="A104" s="32">
        <v>52</v>
      </c>
      <c r="B104" s="33">
        <f>$B$41+SUM($D$52:D103)</f>
        <v>45826.075457522384</v>
      </c>
      <c r="C104" s="33">
        <f t="shared" si="2"/>
        <v>-5581</v>
      </c>
      <c r="D104" s="33">
        <f t="shared" si="5"/>
        <v>-4721.6906046262111</v>
      </c>
      <c r="E104" s="33">
        <f t="shared" si="6"/>
        <v>-859.30939537380289</v>
      </c>
      <c r="F104" s="33">
        <f>SUM($D$18:D104)</f>
        <v>-158895.61514710382</v>
      </c>
      <c r="G104" s="34">
        <f t="shared" si="7"/>
        <v>41104.384852896175</v>
      </c>
    </row>
    <row r="105" spans="1:7" x14ac:dyDescent="0.25">
      <c r="A105" s="32">
        <v>53</v>
      </c>
      <c r="B105" s="33">
        <f>$B$41+SUM($D$52:D104)</f>
        <v>41104.384852896183</v>
      </c>
      <c r="C105" s="33">
        <f t="shared" si="2"/>
        <v>-5581</v>
      </c>
      <c r="D105" s="33">
        <f t="shared" si="5"/>
        <v>-4810.2295654273485</v>
      </c>
      <c r="E105" s="33">
        <f t="shared" si="6"/>
        <v>-770.77043457266609</v>
      </c>
      <c r="F105" s="33">
        <f>SUM($D$18:D105)</f>
        <v>-163705.84471253116</v>
      </c>
      <c r="G105" s="34">
        <f t="shared" si="7"/>
        <v>36294.155287468835</v>
      </c>
    </row>
    <row r="106" spans="1:7" x14ac:dyDescent="0.25">
      <c r="A106" s="32">
        <v>54</v>
      </c>
      <c r="B106" s="33">
        <f>$B$41+SUM($D$52:D105)</f>
        <v>36294.155287468835</v>
      </c>
      <c r="C106" s="33">
        <f t="shared" si="2"/>
        <v>-5581</v>
      </c>
      <c r="D106" s="33">
        <f t="shared" si="5"/>
        <v>-4900.4287679165081</v>
      </c>
      <c r="E106" s="33">
        <f t="shared" si="6"/>
        <v>-680.57123208350663</v>
      </c>
      <c r="F106" s="33">
        <f>SUM($D$18:D106)</f>
        <v>-168606.27348044768</v>
      </c>
      <c r="G106" s="34">
        <f t="shared" si="7"/>
        <v>31393.726519552329</v>
      </c>
    </row>
    <row r="107" spans="1:7" x14ac:dyDescent="0.25">
      <c r="A107" s="32">
        <v>55</v>
      </c>
      <c r="B107" s="33">
        <f>$B$41+SUM($D$52:D106)</f>
        <v>31393.726519552321</v>
      </c>
      <c r="C107" s="33">
        <f t="shared" si="2"/>
        <v>-5581</v>
      </c>
      <c r="D107" s="33">
        <f t="shared" si="5"/>
        <v>-4992.3193441787935</v>
      </c>
      <c r="E107" s="33">
        <f t="shared" si="6"/>
        <v>-588.68065582122085</v>
      </c>
      <c r="F107" s="33">
        <f>SUM($D$18:D107)</f>
        <v>-173598.59282462648</v>
      </c>
      <c r="G107" s="34">
        <f t="shared" si="7"/>
        <v>26401.407175373526</v>
      </c>
    </row>
    <row r="108" spans="1:7" x14ac:dyDescent="0.25">
      <c r="A108" s="32">
        <v>56</v>
      </c>
      <c r="B108" s="33">
        <f>$B$41+SUM($D$52:D107)</f>
        <v>26401.407175373519</v>
      </c>
      <c r="C108" s="33">
        <f t="shared" si="2"/>
        <v>-5581</v>
      </c>
      <c r="D108" s="33">
        <f t="shared" si="5"/>
        <v>-5085.933010073787</v>
      </c>
      <c r="E108" s="33">
        <f t="shared" si="6"/>
        <v>-495.06698992622847</v>
      </c>
      <c r="F108" s="33">
        <f>SUM($D$18:D108)</f>
        <v>-178684.52583470027</v>
      </c>
      <c r="G108" s="34">
        <f t="shared" si="7"/>
        <v>21315.474165299733</v>
      </c>
    </row>
    <row r="109" spans="1:7" x14ac:dyDescent="0.25">
      <c r="A109" s="32">
        <v>57</v>
      </c>
      <c r="B109" s="33">
        <f>$B$41+SUM($D$52:D108)</f>
        <v>21315.474165299733</v>
      </c>
      <c r="C109" s="33">
        <f t="shared" si="2"/>
        <v>-5581</v>
      </c>
      <c r="D109" s="33">
        <f t="shared" si="5"/>
        <v>-5181.3020761822127</v>
      </c>
      <c r="E109" s="33">
        <f t="shared" si="6"/>
        <v>-399.69792381780252</v>
      </c>
      <c r="F109" s="33">
        <f>SUM($D$18:D109)</f>
        <v>-183865.82791088248</v>
      </c>
      <c r="G109" s="34">
        <f t="shared" si="7"/>
        <v>16134.172089117521</v>
      </c>
    </row>
    <row r="110" spans="1:7" x14ac:dyDescent="0.25">
      <c r="A110" s="32">
        <v>58</v>
      </c>
      <c r="B110" s="33">
        <f>$B$41+SUM($D$52:D109)</f>
        <v>16134.172089117521</v>
      </c>
      <c r="C110" s="33">
        <f t="shared" si="2"/>
        <v>-5581</v>
      </c>
      <c r="D110" s="33">
        <f t="shared" si="5"/>
        <v>-5278.459458957881</v>
      </c>
      <c r="E110" s="33">
        <f t="shared" si="6"/>
        <v>-302.54054104213412</v>
      </c>
      <c r="F110" s="33">
        <f>SUM($D$18:D110)</f>
        <v>-189144.28736984037</v>
      </c>
      <c r="G110" s="34">
        <f t="shared" si="7"/>
        <v>10855.71263015964</v>
      </c>
    </row>
    <row r="111" spans="1:7" x14ac:dyDescent="0.25">
      <c r="A111" s="32">
        <v>59</v>
      </c>
      <c r="B111" s="33">
        <f>$B$41+SUM($D$52:D110)</f>
        <v>10855.712630159629</v>
      </c>
      <c r="C111" s="33">
        <f t="shared" si="2"/>
        <v>-5581</v>
      </c>
      <c r="D111" s="33">
        <f t="shared" si="5"/>
        <v>-5377.4386920887355</v>
      </c>
      <c r="E111" s="33">
        <f t="shared" si="6"/>
        <v>-203.56130791127993</v>
      </c>
      <c r="F111" s="33">
        <f>SUM($D$18:D111)</f>
        <v>-194521.7260619291</v>
      </c>
      <c r="G111" s="34">
        <f t="shared" si="7"/>
        <v>5478.2739380708936</v>
      </c>
    </row>
    <row r="112" spans="1:7" x14ac:dyDescent="0.25">
      <c r="A112" s="36">
        <v>60</v>
      </c>
      <c r="B112" s="37">
        <f>$B$41+SUM($D$52:D111)</f>
        <v>5478.2739380708954</v>
      </c>
      <c r="C112" s="37">
        <f t="shared" si="2"/>
        <v>-5581</v>
      </c>
      <c r="D112" s="37">
        <f t="shared" si="5"/>
        <v>-5478.2739380709418</v>
      </c>
      <c r="E112" s="37">
        <f t="shared" si="6"/>
        <v>-102.72606192907264</v>
      </c>
      <c r="F112" s="37">
        <f>SUM($D$18:D112)</f>
        <v>-200000.00000000006</v>
      </c>
      <c r="G112" s="38">
        <f t="shared" si="7"/>
        <v>-4.638422979041934E-11</v>
      </c>
    </row>
    <row r="113" spans="1:7" x14ac:dyDescent="0.25">
      <c r="A113" s="40" t="s">
        <v>37</v>
      </c>
      <c r="B113" s="39"/>
      <c r="C113" s="37">
        <f>SUBTOTAL(109,Таблица1[Платеж])</f>
        <v>-334860</v>
      </c>
      <c r="D113" s="37">
        <f>SUBTOTAL(109,Таблица1[Тело кредита])</f>
        <v>-200000.00000000006</v>
      </c>
      <c r="E113" s="37">
        <f>SUBTOTAL(109,Таблица1[Процент])</f>
        <v>-134860.00000000081</v>
      </c>
      <c r="F113" s="37"/>
      <c r="G113" s="38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E125"/>
  <sheetViews>
    <sheetView workbookViewId="0">
      <selection activeCell="B106" sqref="B106"/>
    </sheetView>
  </sheetViews>
  <sheetFormatPr defaultRowHeight="15" x14ac:dyDescent="0.25"/>
  <cols>
    <col min="1" max="1" width="21" bestFit="1" customWidth="1"/>
    <col min="2" max="2" width="14.5703125" customWidth="1"/>
    <col min="3" max="3" width="16.85546875" bestFit="1" customWidth="1"/>
    <col min="4" max="4" width="19.85546875" customWidth="1"/>
  </cols>
  <sheetData>
    <row r="1" spans="1:3" x14ac:dyDescent="0.25">
      <c r="A1" s="1" t="s">
        <v>83</v>
      </c>
    </row>
    <row r="4" spans="1:3" x14ac:dyDescent="0.25">
      <c r="A4" s="11" t="s">
        <v>22</v>
      </c>
      <c r="B4" s="11" t="s">
        <v>23</v>
      </c>
      <c r="C4" s="11" t="s">
        <v>24</v>
      </c>
    </row>
    <row r="5" spans="1:3" x14ac:dyDescent="0.25">
      <c r="A5" s="6" t="s">
        <v>89</v>
      </c>
      <c r="B5" s="16">
        <v>100000</v>
      </c>
      <c r="C5" s="6" t="s">
        <v>11</v>
      </c>
    </row>
    <row r="6" spans="1:3" x14ac:dyDescent="0.25">
      <c r="A6" s="6" t="s">
        <v>30</v>
      </c>
      <c r="B6" s="16">
        <v>0</v>
      </c>
      <c r="C6" s="6" t="s">
        <v>8</v>
      </c>
    </row>
    <row r="7" spans="1:3" x14ac:dyDescent="0.25">
      <c r="A7" s="6" t="s">
        <v>82</v>
      </c>
      <c r="B7" s="52">
        <v>5</v>
      </c>
      <c r="C7" s="6"/>
    </row>
    <row r="8" spans="1:3" x14ac:dyDescent="0.25">
      <c r="A8" s="6" t="s">
        <v>19</v>
      </c>
      <c r="B8" s="7">
        <v>0.1</v>
      </c>
      <c r="C8" s="6"/>
    </row>
    <row r="9" spans="1:3" x14ac:dyDescent="0.25">
      <c r="A9" s="6" t="s">
        <v>81</v>
      </c>
      <c r="B9" s="51">
        <v>12</v>
      </c>
      <c r="C9" s="6"/>
    </row>
    <row r="10" spans="1:3" x14ac:dyDescent="0.25">
      <c r="A10" s="6" t="s">
        <v>73</v>
      </c>
      <c r="B10" s="27">
        <f>B8/B9</f>
        <v>8.3333333333333332E-3</v>
      </c>
      <c r="C10" s="6" t="s">
        <v>18</v>
      </c>
    </row>
    <row r="11" spans="1:3" x14ac:dyDescent="0.25">
      <c r="A11" s="6" t="s">
        <v>15</v>
      </c>
      <c r="B11" s="26">
        <f>B7*B9</f>
        <v>60</v>
      </c>
      <c r="C11" s="6" t="s">
        <v>14</v>
      </c>
    </row>
    <row r="12" spans="1:3" x14ac:dyDescent="0.25">
      <c r="A12" s="6" t="s">
        <v>21</v>
      </c>
      <c r="B12" s="9">
        <v>0</v>
      </c>
      <c r="C12" s="6" t="s">
        <v>5</v>
      </c>
    </row>
    <row r="13" spans="1:3" x14ac:dyDescent="0.25">
      <c r="A13" s="41" t="s">
        <v>32</v>
      </c>
      <c r="B13" s="50">
        <f>IF(B10,(B5*B10*(1+B10)^B11/((1+B10)^B11-1)+B10/((1+B10)^B11-1)*B6)*IF(B12,1/(B10+1),1),(B5+B6)/B11)</f>
        <v>2124.704471126835</v>
      </c>
      <c r="C13" s="6"/>
    </row>
    <row r="14" spans="1:3" x14ac:dyDescent="0.25">
      <c r="A14" s="56"/>
      <c r="B14" s="50">
        <f>PMT(B10,B11,B5,B6,B12)</f>
        <v>-2124.7044711268277</v>
      </c>
      <c r="C14" s="12"/>
    </row>
    <row r="15" spans="1:3" x14ac:dyDescent="0.25">
      <c r="A15" s="56"/>
    </row>
    <row r="16" spans="1:3" x14ac:dyDescent="0.25">
      <c r="A16" s="1" t="s">
        <v>85</v>
      </c>
    </row>
    <row r="17" spans="1:5" x14ac:dyDescent="0.25">
      <c r="A17" s="1" t="s">
        <v>84</v>
      </c>
      <c r="B17">
        <v>5000</v>
      </c>
    </row>
    <row r="19" spans="1:5" x14ac:dyDescent="0.25">
      <c r="A19" s="11" t="s">
        <v>89</v>
      </c>
      <c r="B19" s="11" t="s">
        <v>32</v>
      </c>
      <c r="D19" s="1" t="s">
        <v>86</v>
      </c>
    </row>
    <row r="20" spans="1:5" x14ac:dyDescent="0.25">
      <c r="A20" s="54">
        <v>0</v>
      </c>
      <c r="B20" s="10">
        <f>-PMT($B$10,$B$11,A20,$B$6,$B$12)</f>
        <v>0</v>
      </c>
      <c r="D20" s="6" t="s">
        <v>87</v>
      </c>
      <c r="E20" s="50">
        <f>IF(B10,B10*(1+B10)^B11/((1+B10)^B11-1)*IF(B12,1/(B10+1),1),1/B11)</f>
        <v>2.1247044711268346E-2</v>
      </c>
    </row>
    <row r="21" spans="1:5" x14ac:dyDescent="0.25">
      <c r="A21" s="54">
        <f>A20+$B$17</f>
        <v>5000</v>
      </c>
      <c r="B21" s="10">
        <f t="shared" ref="B21:B42" si="0">-PMT($B$10,$B$11,A21,$B$6,$B$12)</f>
        <v>106.23522355634138</v>
      </c>
      <c r="D21" s="6" t="s">
        <v>88</v>
      </c>
      <c r="E21" s="6">
        <f>IF(B10,B10/((1+B10)^B11-1)*B6*IF(B12,1/(B10+1),1),B6/B11)</f>
        <v>0</v>
      </c>
    </row>
    <row r="22" spans="1:5" x14ac:dyDescent="0.25">
      <c r="A22" s="54">
        <f t="shared" ref="A22:A34" si="1">A21+$B$17</f>
        <v>10000</v>
      </c>
      <c r="B22" s="10">
        <f t="shared" si="0"/>
        <v>212.47044711268276</v>
      </c>
    </row>
    <row r="23" spans="1:5" x14ac:dyDescent="0.25">
      <c r="A23" s="54">
        <f t="shared" si="1"/>
        <v>15000</v>
      </c>
      <c r="B23" s="10">
        <f t="shared" si="0"/>
        <v>318.70567066902413</v>
      </c>
    </row>
    <row r="24" spans="1:5" x14ac:dyDescent="0.25">
      <c r="A24" s="54">
        <f t="shared" si="1"/>
        <v>20000</v>
      </c>
      <c r="B24" s="10">
        <f t="shared" si="0"/>
        <v>424.94089422536553</v>
      </c>
    </row>
    <row r="25" spans="1:5" x14ac:dyDescent="0.25">
      <c r="A25" s="54">
        <f t="shared" si="1"/>
        <v>25000</v>
      </c>
      <c r="B25" s="10">
        <f t="shared" si="0"/>
        <v>531.17611778170692</v>
      </c>
    </row>
    <row r="26" spans="1:5" x14ac:dyDescent="0.25">
      <c r="A26" s="54">
        <f t="shared" si="1"/>
        <v>30000</v>
      </c>
      <c r="B26" s="10">
        <f t="shared" si="0"/>
        <v>637.41134133804826</v>
      </c>
    </row>
    <row r="27" spans="1:5" x14ac:dyDescent="0.25">
      <c r="A27" s="54">
        <f t="shared" si="1"/>
        <v>35000</v>
      </c>
      <c r="B27" s="10">
        <f t="shared" si="0"/>
        <v>743.64656489438971</v>
      </c>
    </row>
    <row r="28" spans="1:5" x14ac:dyDescent="0.25">
      <c r="A28" s="54">
        <f t="shared" si="1"/>
        <v>40000</v>
      </c>
      <c r="B28" s="10">
        <f t="shared" si="0"/>
        <v>849.88178845073105</v>
      </c>
    </row>
    <row r="29" spans="1:5" x14ac:dyDescent="0.25">
      <c r="A29" s="54">
        <f t="shared" si="1"/>
        <v>45000</v>
      </c>
      <c r="B29" s="10">
        <f t="shared" si="0"/>
        <v>956.1170120070725</v>
      </c>
    </row>
    <row r="30" spans="1:5" x14ac:dyDescent="0.25">
      <c r="A30" s="54">
        <f t="shared" si="1"/>
        <v>50000</v>
      </c>
      <c r="B30" s="10">
        <f t="shared" si="0"/>
        <v>1062.3522355634138</v>
      </c>
    </row>
    <row r="31" spans="1:5" x14ac:dyDescent="0.25">
      <c r="A31" s="54">
        <f t="shared" si="1"/>
        <v>55000</v>
      </c>
      <c r="B31" s="10">
        <f t="shared" si="0"/>
        <v>1168.5874591197551</v>
      </c>
    </row>
    <row r="32" spans="1:5" x14ac:dyDescent="0.25">
      <c r="A32" s="54">
        <f t="shared" si="1"/>
        <v>60000</v>
      </c>
      <c r="B32" s="10">
        <f t="shared" si="0"/>
        <v>1274.8226826760965</v>
      </c>
    </row>
    <row r="33" spans="1:4" x14ac:dyDescent="0.25">
      <c r="A33" s="54">
        <f t="shared" si="1"/>
        <v>65000</v>
      </c>
      <c r="B33" s="10">
        <f t="shared" si="0"/>
        <v>1381.0579062324377</v>
      </c>
    </row>
    <row r="34" spans="1:4" x14ac:dyDescent="0.25">
      <c r="A34" s="54">
        <f t="shared" si="1"/>
        <v>70000</v>
      </c>
      <c r="B34" s="10">
        <f t="shared" si="0"/>
        <v>1487.2931297887794</v>
      </c>
    </row>
    <row r="35" spans="1:4" x14ac:dyDescent="0.25">
      <c r="A35" s="54">
        <f t="shared" ref="A35:A42" si="2">A34+$B$17</f>
        <v>75000</v>
      </c>
      <c r="B35" s="10">
        <f t="shared" si="0"/>
        <v>1593.5283533451209</v>
      </c>
    </row>
    <row r="36" spans="1:4" x14ac:dyDescent="0.25">
      <c r="A36" s="54">
        <f t="shared" si="2"/>
        <v>80000</v>
      </c>
      <c r="B36" s="10">
        <f t="shared" si="0"/>
        <v>1699.7635769014621</v>
      </c>
    </row>
    <row r="37" spans="1:4" x14ac:dyDescent="0.25">
      <c r="A37" s="54">
        <f t="shared" si="2"/>
        <v>85000</v>
      </c>
      <c r="B37" s="10">
        <f t="shared" si="0"/>
        <v>1805.9988004578036</v>
      </c>
    </row>
    <row r="38" spans="1:4" x14ac:dyDescent="0.25">
      <c r="A38" s="54">
        <f t="shared" si="2"/>
        <v>90000</v>
      </c>
      <c r="B38" s="10">
        <f t="shared" si="0"/>
        <v>1912.234024014145</v>
      </c>
    </row>
    <row r="39" spans="1:4" x14ac:dyDescent="0.25">
      <c r="A39" s="54">
        <f t="shared" si="2"/>
        <v>95000</v>
      </c>
      <c r="B39" s="10">
        <f t="shared" si="0"/>
        <v>2018.4692475704862</v>
      </c>
    </row>
    <row r="40" spans="1:4" x14ac:dyDescent="0.25">
      <c r="A40" s="54">
        <f t="shared" si="2"/>
        <v>100000</v>
      </c>
      <c r="B40" s="10">
        <f t="shared" si="0"/>
        <v>2124.7044711268277</v>
      </c>
    </row>
    <row r="41" spans="1:4" x14ac:dyDescent="0.25">
      <c r="A41" s="54">
        <f t="shared" si="2"/>
        <v>105000</v>
      </c>
      <c r="B41" s="10">
        <f t="shared" si="0"/>
        <v>2230.9396946831689</v>
      </c>
    </row>
    <row r="42" spans="1:4" x14ac:dyDescent="0.25">
      <c r="A42" s="54">
        <f t="shared" si="2"/>
        <v>110000</v>
      </c>
      <c r="B42" s="10">
        <f t="shared" si="0"/>
        <v>2337.1749182395101</v>
      </c>
    </row>
    <row r="45" spans="1:4" x14ac:dyDescent="0.25">
      <c r="A45" s="1" t="s">
        <v>91</v>
      </c>
      <c r="D45" s="1" t="s">
        <v>97</v>
      </c>
    </row>
    <row r="46" spans="1:4" x14ac:dyDescent="0.25">
      <c r="A46" s="1" t="s">
        <v>84</v>
      </c>
      <c r="B46" s="55">
        <v>5.0000000000000001E-3</v>
      </c>
    </row>
    <row r="48" spans="1:4" x14ac:dyDescent="0.25">
      <c r="A48" s="11" t="s">
        <v>90</v>
      </c>
      <c r="B48" s="11" t="s">
        <v>32</v>
      </c>
    </row>
    <row r="49" spans="1:2" x14ac:dyDescent="0.25">
      <c r="A49" s="57">
        <v>0</v>
      </c>
      <c r="B49" s="10">
        <f>-PMT(A49,$B$11,$B$5,$B$6,$B$12)</f>
        <v>1666.6666666666667</v>
      </c>
    </row>
    <row r="50" spans="1:2" x14ac:dyDescent="0.25">
      <c r="A50" s="57">
        <f>A49+$B$46</f>
        <v>5.0000000000000001E-3</v>
      </c>
      <c r="B50" s="10">
        <f>-PMT(A50,$B$11,$B$5,$B$6,$B$12)</f>
        <v>1933.2801529427916</v>
      </c>
    </row>
    <row r="51" spans="1:2" x14ac:dyDescent="0.25">
      <c r="A51" s="57">
        <f t="shared" ref="A51:A60" si="3">A50+$B$46</f>
        <v>0.01</v>
      </c>
      <c r="B51" s="10">
        <f t="shared" ref="B51:B99" si="4">-PMT(A51,$B$11,$B$5,$B$6,$B$12)</f>
        <v>2224.4447684901775</v>
      </c>
    </row>
    <row r="52" spans="1:2" x14ac:dyDescent="0.25">
      <c r="A52" s="57">
        <f t="shared" si="3"/>
        <v>1.4999999999999999E-2</v>
      </c>
      <c r="B52" s="10">
        <f t="shared" si="4"/>
        <v>2539.3427427109082</v>
      </c>
    </row>
    <row r="53" spans="1:2" x14ac:dyDescent="0.25">
      <c r="A53" s="57">
        <f t="shared" si="3"/>
        <v>0.02</v>
      </c>
      <c r="B53" s="10">
        <f t="shared" si="4"/>
        <v>2876.7965825806332</v>
      </c>
    </row>
    <row r="54" spans="1:2" x14ac:dyDescent="0.25">
      <c r="A54" s="57">
        <f t="shared" si="3"/>
        <v>2.5000000000000001E-2</v>
      </c>
      <c r="B54" s="10">
        <f t="shared" si="4"/>
        <v>3235.339590005924</v>
      </c>
    </row>
    <row r="55" spans="1:2" x14ac:dyDescent="0.25">
      <c r="A55" s="57">
        <f t="shared" si="3"/>
        <v>3.0000000000000002E-2</v>
      </c>
      <c r="B55" s="10">
        <f t="shared" si="4"/>
        <v>3613.2958738043908</v>
      </c>
    </row>
    <row r="56" spans="1:2" x14ac:dyDescent="0.25">
      <c r="A56" s="57">
        <f t="shared" si="3"/>
        <v>3.5000000000000003E-2</v>
      </c>
      <c r="B56" s="10">
        <f t="shared" si="4"/>
        <v>4008.862132021854</v>
      </c>
    </row>
    <row r="57" spans="1:2" x14ac:dyDescent="0.25">
      <c r="A57" s="57">
        <f t="shared" si="3"/>
        <v>0.04</v>
      </c>
      <c r="B57" s="10">
        <f t="shared" si="4"/>
        <v>4420.1845123283219</v>
      </c>
    </row>
    <row r="58" spans="1:2" x14ac:dyDescent="0.25">
      <c r="A58" s="57">
        <f t="shared" si="3"/>
        <v>4.4999999999999998E-2</v>
      </c>
      <c r="B58" s="10">
        <f t="shared" si="4"/>
        <v>4845.4255846261176</v>
      </c>
    </row>
    <row r="59" spans="1:2" x14ac:dyDescent="0.25">
      <c r="A59" s="57">
        <f t="shared" si="3"/>
        <v>4.9999999999999996E-2</v>
      </c>
      <c r="B59" s="10">
        <f t="shared" si="4"/>
        <v>5282.8184527242365</v>
      </c>
    </row>
    <row r="60" spans="1:2" x14ac:dyDescent="0.25">
      <c r="A60" s="57">
        <f t="shared" si="3"/>
        <v>5.4999999999999993E-2</v>
      </c>
      <c r="B60" s="10">
        <f t="shared" si="4"/>
        <v>5730.7069194591022</v>
      </c>
    </row>
    <row r="61" spans="1:2" x14ac:dyDescent="0.25">
      <c r="A61" s="57">
        <f t="shared" ref="A61:A73" si="5">A60+$B$46</f>
        <v>5.9999999999999991E-2</v>
      </c>
      <c r="B61" s="10">
        <f t="shared" si="4"/>
        <v>6187.5721516601716</v>
      </c>
    </row>
    <row r="62" spans="1:2" x14ac:dyDescent="0.25">
      <c r="A62" s="57">
        <f t="shared" si="5"/>
        <v>6.4999999999999988E-2</v>
      </c>
      <c r="B62" s="10">
        <f t="shared" si="4"/>
        <v>6652.047353620922</v>
      </c>
    </row>
    <row r="63" spans="1:2" x14ac:dyDescent="0.25">
      <c r="A63" s="57">
        <f t="shared" si="5"/>
        <v>6.9999999999999993E-2</v>
      </c>
      <c r="B63" s="10">
        <f t="shared" si="4"/>
        <v>7122.9225500019429</v>
      </c>
    </row>
    <row r="64" spans="1:2" x14ac:dyDescent="0.25">
      <c r="A64" s="57">
        <f t="shared" si="5"/>
        <v>7.4999999999999997E-2</v>
      </c>
      <c r="B64" s="10">
        <f t="shared" si="4"/>
        <v>7599.1417754391759</v>
      </c>
    </row>
    <row r="65" spans="1:2" x14ac:dyDescent="0.25">
      <c r="A65" s="57">
        <f t="shared" si="5"/>
        <v>0.08</v>
      </c>
      <c r="B65" s="10">
        <f t="shared" si="4"/>
        <v>8079.7948763645663</v>
      </c>
    </row>
    <row r="66" spans="1:2" x14ac:dyDescent="0.25">
      <c r="A66" s="57">
        <f t="shared" si="5"/>
        <v>8.5000000000000006E-2</v>
      </c>
      <c r="B66" s="10">
        <f t="shared" si="4"/>
        <v>8564.1058607575778</v>
      </c>
    </row>
    <row r="67" spans="1:2" x14ac:dyDescent="0.25">
      <c r="A67" s="57">
        <f t="shared" si="5"/>
        <v>9.0000000000000011E-2</v>
      </c>
      <c r="B67" s="10">
        <f t="shared" si="4"/>
        <v>9051.4193770679831</v>
      </c>
    </row>
    <row r="68" spans="1:2" x14ac:dyDescent="0.25">
      <c r="A68" s="57">
        <f t="shared" si="5"/>
        <v>9.5000000000000015E-2</v>
      </c>
      <c r="B68" s="10">
        <f t="shared" si="4"/>
        <v>9541.1865330471064</v>
      </c>
    </row>
    <row r="69" spans="1:2" x14ac:dyDescent="0.25">
      <c r="A69" s="57">
        <f t="shared" si="5"/>
        <v>0.10000000000000002</v>
      </c>
      <c r="B69" s="10">
        <f t="shared" si="4"/>
        <v>10032.95092255041</v>
      </c>
    </row>
    <row r="70" spans="1:2" x14ac:dyDescent="0.25">
      <c r="A70" s="57">
        <f t="shared" si="5"/>
        <v>0.10500000000000002</v>
      </c>
      <c r="B70" s="10">
        <f t="shared" si="4"/>
        <v>10526.335436683446</v>
      </c>
    </row>
    <row r="71" spans="1:2" x14ac:dyDescent="0.25">
      <c r="A71" s="57">
        <f t="shared" si="5"/>
        <v>0.11000000000000003</v>
      </c>
      <c r="B71" s="10">
        <f t="shared" si="4"/>
        <v>11021.030203024946</v>
      </c>
    </row>
    <row r="72" spans="1:2" x14ac:dyDescent="0.25">
      <c r="A72" s="57">
        <f t="shared" si="5"/>
        <v>0.11500000000000003</v>
      </c>
      <c r="B72" s="10">
        <f t="shared" si="4"/>
        <v>11516.781821461855</v>
      </c>
    </row>
    <row r="73" spans="1:2" x14ac:dyDescent="0.25">
      <c r="A73" s="57">
        <f t="shared" si="5"/>
        <v>0.12000000000000004</v>
      </c>
      <c r="B73" s="10">
        <f t="shared" si="4"/>
        <v>12013.383940488486</v>
      </c>
    </row>
    <row r="74" spans="1:2" x14ac:dyDescent="0.25">
      <c r="A74" s="57">
        <f t="shared" ref="A74:A99" si="6">A73+$B$46</f>
        <v>0.12500000000000003</v>
      </c>
      <c r="B74" s="10">
        <f t="shared" si="4"/>
        <v>12510.669134541329</v>
      </c>
    </row>
    <row r="75" spans="1:2" x14ac:dyDescent="0.25">
      <c r="A75" s="57">
        <f t="shared" si="6"/>
        <v>0.13000000000000003</v>
      </c>
      <c r="B75" s="10">
        <f t="shared" si="4"/>
        <v>13008.50199174161</v>
      </c>
    </row>
    <row r="76" spans="1:2" x14ac:dyDescent="0.25">
      <c r="A76" s="57">
        <f t="shared" si="6"/>
        <v>0.13500000000000004</v>
      </c>
      <c r="B76" s="10">
        <f t="shared" si="4"/>
        <v>13506.773293872231</v>
      </c>
    </row>
    <row r="77" spans="1:2" x14ac:dyDescent="0.25">
      <c r="A77" s="57">
        <f t="shared" si="6"/>
        <v>0.14000000000000004</v>
      </c>
      <c r="B77" s="10">
        <f t="shared" si="4"/>
        <v>14005.395159477492</v>
      </c>
    </row>
    <row r="78" spans="1:2" x14ac:dyDescent="0.25">
      <c r="A78" s="57">
        <f t="shared" si="6"/>
        <v>0.14500000000000005</v>
      </c>
      <c r="B78" s="10">
        <f t="shared" si="4"/>
        <v>14504.297021079517</v>
      </c>
    </row>
    <row r="79" spans="1:2" x14ac:dyDescent="0.25">
      <c r="A79" s="57">
        <f t="shared" si="6"/>
        <v>0.15000000000000005</v>
      </c>
      <c r="B79" s="10">
        <f t="shared" si="4"/>
        <v>15003.422314463331</v>
      </c>
    </row>
    <row r="80" spans="1:2" x14ac:dyDescent="0.25">
      <c r="A80" s="57">
        <f t="shared" si="6"/>
        <v>0.15500000000000005</v>
      </c>
      <c r="B80" s="10">
        <f t="shared" si="4"/>
        <v>15502.725768768129</v>
      </c>
    </row>
    <row r="81" spans="1:2" x14ac:dyDescent="0.25">
      <c r="A81" s="57">
        <f t="shared" si="6"/>
        <v>0.16000000000000006</v>
      </c>
      <c r="B81" s="10">
        <f t="shared" si="4"/>
        <v>16002.171198642433</v>
      </c>
    </row>
    <row r="82" spans="1:2" x14ac:dyDescent="0.25">
      <c r="A82" s="57">
        <f t="shared" si="6"/>
        <v>0.16500000000000006</v>
      </c>
      <c r="B82" s="10">
        <f t="shared" si="4"/>
        <v>16501.729712594573</v>
      </c>
    </row>
    <row r="83" spans="1:2" x14ac:dyDescent="0.25">
      <c r="A83" s="57">
        <f t="shared" si="6"/>
        <v>0.17000000000000007</v>
      </c>
      <c r="B83" s="10">
        <f t="shared" si="4"/>
        <v>17001.378264040366</v>
      </c>
    </row>
    <row r="84" spans="1:2" x14ac:dyDescent="0.25">
      <c r="A84" s="57">
        <f t="shared" si="6"/>
        <v>0.17500000000000007</v>
      </c>
      <c r="B84" s="10">
        <f t="shared" si="4"/>
        <v>17501.098482929214</v>
      </c>
    </row>
    <row r="85" spans="1:2" x14ac:dyDescent="0.25">
      <c r="A85" s="57">
        <f t="shared" si="6"/>
        <v>0.18000000000000008</v>
      </c>
      <c r="B85" s="10">
        <f t="shared" si="4"/>
        <v>18000.875735984569</v>
      </c>
    </row>
    <row r="86" spans="1:2" x14ac:dyDescent="0.25">
      <c r="A86" s="57">
        <f t="shared" si="6"/>
        <v>0.18500000000000008</v>
      </c>
      <c r="B86" s="10">
        <f t="shared" si="4"/>
        <v>18500.69837245527</v>
      </c>
    </row>
    <row r="87" spans="1:2" x14ac:dyDescent="0.25">
      <c r="A87" s="57">
        <f t="shared" si="6"/>
        <v>0.19000000000000009</v>
      </c>
      <c r="B87" s="10">
        <f t="shared" si="4"/>
        <v>19000.557119874553</v>
      </c>
    </row>
    <row r="88" spans="1:2" x14ac:dyDescent="0.25">
      <c r="A88" s="57">
        <f t="shared" si="6"/>
        <v>0.19500000000000009</v>
      </c>
      <c r="B88" s="10">
        <f t="shared" si="4"/>
        <v>19500.444600755283</v>
      </c>
    </row>
    <row r="89" spans="1:2" x14ac:dyDescent="0.25">
      <c r="A89" s="57">
        <f t="shared" si="6"/>
        <v>0.20000000000000009</v>
      </c>
      <c r="B89" s="10">
        <f t="shared" si="4"/>
        <v>20000.354946534495</v>
      </c>
    </row>
    <row r="90" spans="1:2" x14ac:dyDescent="0.25">
      <c r="A90" s="57">
        <f t="shared" si="6"/>
        <v>0.2050000000000001</v>
      </c>
      <c r="B90" s="10">
        <f t="shared" si="4"/>
        <v>20500.283489548423</v>
      </c>
    </row>
    <row r="91" spans="1:2" x14ac:dyDescent="0.25">
      <c r="A91" s="57">
        <f t="shared" si="6"/>
        <v>0.2100000000000001</v>
      </c>
      <c r="B91" s="10">
        <f t="shared" si="4"/>
        <v>21000.226517500243</v>
      </c>
    </row>
    <row r="92" spans="1:2" x14ac:dyDescent="0.25">
      <c r="A92" s="57">
        <f t="shared" si="6"/>
        <v>0.21500000000000011</v>
      </c>
      <c r="B92" s="10">
        <f t="shared" si="4"/>
        <v>21500.181077896807</v>
      </c>
    </row>
    <row r="93" spans="1:2" x14ac:dyDescent="0.25">
      <c r="A93" s="57">
        <f t="shared" si="6"/>
        <v>0.22000000000000011</v>
      </c>
      <c r="B93" s="10">
        <f t="shared" si="4"/>
        <v>22000.144822386297</v>
      </c>
    </row>
    <row r="94" spans="1:2" x14ac:dyDescent="0.25">
      <c r="A94" s="57">
        <f t="shared" si="6"/>
        <v>0.22500000000000012</v>
      </c>
      <c r="B94" s="10">
        <f t="shared" si="4"/>
        <v>22500.115882920782</v>
      </c>
    </row>
    <row r="95" spans="1:2" x14ac:dyDescent="0.25">
      <c r="A95" s="57">
        <f t="shared" si="6"/>
        <v>0.23000000000000012</v>
      </c>
      <c r="B95" s="10">
        <f t="shared" si="4"/>
        <v>23000.092773277895</v>
      </c>
    </row>
    <row r="96" spans="1:2" x14ac:dyDescent="0.25">
      <c r="A96" s="57">
        <f t="shared" si="6"/>
        <v>0.23500000000000013</v>
      </c>
      <c r="B96" s="10">
        <f t="shared" si="4"/>
        <v>23500.074310773161</v>
      </c>
    </row>
    <row r="97" spans="1:3" x14ac:dyDescent="0.25">
      <c r="A97" s="57">
        <f t="shared" si="6"/>
        <v>0.24000000000000013</v>
      </c>
      <c r="B97" s="10">
        <f t="shared" si="4"/>
        <v>24000.059554037456</v>
      </c>
    </row>
    <row r="98" spans="1:3" x14ac:dyDescent="0.25">
      <c r="A98" s="57">
        <f t="shared" si="6"/>
        <v>0.24500000000000013</v>
      </c>
      <c r="B98" s="10">
        <f t="shared" si="4"/>
        <v>24500.047753570067</v>
      </c>
    </row>
    <row r="99" spans="1:3" x14ac:dyDescent="0.25">
      <c r="A99" s="57">
        <f t="shared" si="6"/>
        <v>0.25000000000000011</v>
      </c>
      <c r="B99" s="10">
        <f t="shared" si="4"/>
        <v>25000.038312447246</v>
      </c>
    </row>
    <row r="101" spans="1:3" x14ac:dyDescent="0.25">
      <c r="A101" s="1" t="s">
        <v>96</v>
      </c>
    </row>
    <row r="102" spans="1:3" x14ac:dyDescent="0.25">
      <c r="A102" s="1" t="s">
        <v>84</v>
      </c>
      <c r="B102">
        <v>1</v>
      </c>
      <c r="C102" t="s">
        <v>98</v>
      </c>
    </row>
    <row r="103" spans="1:3" x14ac:dyDescent="0.25">
      <c r="A103" s="1" t="s">
        <v>120</v>
      </c>
    </row>
    <row r="104" spans="1:3" x14ac:dyDescent="0.25">
      <c r="A104" s="1"/>
    </row>
    <row r="105" spans="1:3" x14ac:dyDescent="0.25">
      <c r="A105" s="11" t="s">
        <v>95</v>
      </c>
      <c r="B105" s="11" t="s">
        <v>32</v>
      </c>
    </row>
    <row r="106" spans="1:3" x14ac:dyDescent="0.25">
      <c r="A106" s="58">
        <v>1</v>
      </c>
      <c r="B106" s="10">
        <f>-PMT($B$10,A106*12,$B$5,$B$6,$B$12)</f>
        <v>8791.5887230009594</v>
      </c>
    </row>
    <row r="107" spans="1:3" x14ac:dyDescent="0.25">
      <c r="A107" s="58">
        <f>A106+$B$102</f>
        <v>2</v>
      </c>
      <c r="B107" s="10">
        <f t="shared" ref="B107:B125" si="7">-PMT($B$10,A107*12,$B$5,$B$6,$B$12)</f>
        <v>4614.4926337516508</v>
      </c>
    </row>
    <row r="108" spans="1:3" x14ac:dyDescent="0.25">
      <c r="A108" s="58">
        <f t="shared" ref="A108:A125" si="8">A107+$B$102</f>
        <v>3</v>
      </c>
      <c r="B108" s="10">
        <f t="shared" si="7"/>
        <v>3226.7187193837485</v>
      </c>
    </row>
    <row r="109" spans="1:3" x14ac:dyDescent="0.25">
      <c r="A109" s="58">
        <f t="shared" si="8"/>
        <v>4</v>
      </c>
      <c r="B109" s="10">
        <f t="shared" si="7"/>
        <v>2536.2583434747189</v>
      </c>
    </row>
    <row r="110" spans="1:3" x14ac:dyDescent="0.25">
      <c r="A110" s="58">
        <f t="shared" si="8"/>
        <v>5</v>
      </c>
      <c r="B110" s="10">
        <f t="shared" si="7"/>
        <v>2124.7044711268277</v>
      </c>
    </row>
    <row r="111" spans="1:3" x14ac:dyDescent="0.25">
      <c r="A111" s="58">
        <f t="shared" si="8"/>
        <v>6</v>
      </c>
      <c r="B111" s="10">
        <f t="shared" si="7"/>
        <v>1852.5837775770478</v>
      </c>
    </row>
    <row r="112" spans="1:3" x14ac:dyDescent="0.25">
      <c r="A112" s="58">
        <f t="shared" si="8"/>
        <v>7</v>
      </c>
      <c r="B112" s="10">
        <f t="shared" si="7"/>
        <v>1660.1184026885908</v>
      </c>
    </row>
    <row r="113" spans="1:2" x14ac:dyDescent="0.25">
      <c r="A113" s="58">
        <f t="shared" si="8"/>
        <v>8</v>
      </c>
      <c r="B113" s="10">
        <f t="shared" si="7"/>
        <v>1517.416409780433</v>
      </c>
    </row>
    <row r="114" spans="1:2" x14ac:dyDescent="0.25">
      <c r="A114" s="58">
        <f t="shared" si="8"/>
        <v>9</v>
      </c>
      <c r="B114" s="10">
        <f t="shared" si="7"/>
        <v>1407.8686217371223</v>
      </c>
    </row>
    <row r="115" spans="1:2" x14ac:dyDescent="0.25">
      <c r="A115" s="58">
        <f t="shared" si="8"/>
        <v>10</v>
      </c>
      <c r="B115" s="10">
        <f t="shared" si="7"/>
        <v>1321.5073688176165</v>
      </c>
    </row>
    <row r="116" spans="1:2" x14ac:dyDescent="0.25">
      <c r="A116" s="58">
        <f t="shared" si="8"/>
        <v>11</v>
      </c>
      <c r="B116" s="10">
        <f t="shared" si="7"/>
        <v>1251.9877483329201</v>
      </c>
    </row>
    <row r="117" spans="1:2" x14ac:dyDescent="0.25">
      <c r="A117" s="58">
        <f t="shared" si="8"/>
        <v>12</v>
      </c>
      <c r="B117" s="10">
        <f t="shared" si="7"/>
        <v>1195.0782628273339</v>
      </c>
    </row>
    <row r="118" spans="1:2" x14ac:dyDescent="0.25">
      <c r="A118" s="58">
        <f t="shared" si="8"/>
        <v>13</v>
      </c>
      <c r="B118" s="10">
        <f t="shared" si="7"/>
        <v>1147.8480931056774</v>
      </c>
    </row>
    <row r="119" spans="1:2" x14ac:dyDescent="0.25">
      <c r="A119" s="58">
        <f t="shared" si="8"/>
        <v>14</v>
      </c>
      <c r="B119" s="10">
        <f>-PMT($B$10,A119*12,$B$5,$B$6,$B$12)</f>
        <v>1108.2026873686093</v>
      </c>
    </row>
    <row r="120" spans="1:2" x14ac:dyDescent="0.25">
      <c r="A120" s="58">
        <f t="shared" si="8"/>
        <v>15</v>
      </c>
      <c r="B120" s="10">
        <f t="shared" si="7"/>
        <v>1074.6051177081163</v>
      </c>
    </row>
    <row r="121" spans="1:2" x14ac:dyDescent="0.25">
      <c r="A121" s="58">
        <f t="shared" si="8"/>
        <v>16</v>
      </c>
      <c r="B121" s="10">
        <f t="shared" si="7"/>
        <v>1045.9019296055208</v>
      </c>
    </row>
    <row r="122" spans="1:2" x14ac:dyDescent="0.25">
      <c r="A122" s="58">
        <f t="shared" si="8"/>
        <v>17</v>
      </c>
      <c r="B122" s="10">
        <f t="shared" si="7"/>
        <v>1021.210456863398</v>
      </c>
    </row>
    <row r="123" spans="1:2" x14ac:dyDescent="0.25">
      <c r="A123" s="58">
        <f t="shared" si="8"/>
        <v>18</v>
      </c>
      <c r="B123" s="10">
        <f t="shared" si="7"/>
        <v>999.84369781186274</v>
      </c>
    </row>
    <row r="124" spans="1:2" x14ac:dyDescent="0.25">
      <c r="A124" s="58">
        <f t="shared" si="8"/>
        <v>19</v>
      </c>
      <c r="B124" s="10">
        <f t="shared" si="7"/>
        <v>981.25891359386901</v>
      </c>
    </row>
    <row r="125" spans="1:2" x14ac:dyDescent="0.25">
      <c r="A125" s="58">
        <f t="shared" si="8"/>
        <v>20</v>
      </c>
      <c r="B125" s="10">
        <f t="shared" si="7"/>
        <v>965.02164507400789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D9"/>
  <sheetViews>
    <sheetView workbookViewId="0">
      <selection activeCell="D30" sqref="D30"/>
    </sheetView>
  </sheetViews>
  <sheetFormatPr defaultRowHeight="15" x14ac:dyDescent="0.25"/>
  <cols>
    <col min="1" max="1" width="10.7109375" customWidth="1"/>
  </cols>
  <sheetData>
    <row r="1" spans="1:4" x14ac:dyDescent="0.25">
      <c r="A1" s="76" t="s">
        <v>3</v>
      </c>
      <c r="B1" s="77"/>
      <c r="C1" s="78"/>
    </row>
    <row r="3" spans="1:4" x14ac:dyDescent="0.25">
      <c r="B3" s="79" t="s">
        <v>1</v>
      </c>
      <c r="C3" s="80"/>
      <c r="D3" s="81"/>
    </row>
    <row r="4" spans="1:4" x14ac:dyDescent="0.25">
      <c r="A4" s="82" t="s">
        <v>0</v>
      </c>
      <c r="B4" s="85" t="s">
        <v>2</v>
      </c>
      <c r="C4" s="86"/>
      <c r="D4" s="87"/>
    </row>
    <row r="5" spans="1:4" x14ac:dyDescent="0.25">
      <c r="A5" s="83"/>
      <c r="B5" s="88"/>
      <c r="C5" s="89"/>
      <c r="D5" s="90"/>
    </row>
    <row r="6" spans="1:4" x14ac:dyDescent="0.25">
      <c r="A6" s="83"/>
      <c r="B6" s="88"/>
      <c r="C6" s="89"/>
      <c r="D6" s="90"/>
    </row>
    <row r="7" spans="1:4" x14ac:dyDescent="0.25">
      <c r="A7" s="83"/>
      <c r="B7" s="88"/>
      <c r="C7" s="89"/>
      <c r="D7" s="90"/>
    </row>
    <row r="8" spans="1:4" x14ac:dyDescent="0.25">
      <c r="A8" s="83"/>
      <c r="B8" s="88"/>
      <c r="C8" s="89"/>
      <c r="D8" s="90"/>
    </row>
    <row r="9" spans="1:4" x14ac:dyDescent="0.25">
      <c r="A9" s="84"/>
      <c r="B9" s="91"/>
      <c r="C9" s="92"/>
      <c r="D9" s="93"/>
    </row>
  </sheetData>
  <mergeCells count="4">
    <mergeCell ref="A1:C1"/>
    <mergeCell ref="B3:D3"/>
    <mergeCell ref="A4:A9"/>
    <mergeCell ref="B4:D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E4"/>
  <sheetViews>
    <sheetView workbookViewId="0">
      <selection activeCell="E19" sqref="E19"/>
    </sheetView>
  </sheetViews>
  <sheetFormatPr defaultRowHeight="15" x14ac:dyDescent="0.25"/>
  <cols>
    <col min="2" max="5" width="18.5703125" customWidth="1"/>
  </cols>
  <sheetData>
    <row r="2" spans="2:5" ht="30.75" customHeight="1" x14ac:dyDescent="0.25">
      <c r="B2" s="68" t="s">
        <v>116</v>
      </c>
      <c r="C2" s="69" t="s">
        <v>117</v>
      </c>
      <c r="D2" s="70" t="s">
        <v>118</v>
      </c>
      <c r="E2" s="71" t="s">
        <v>119</v>
      </c>
    </row>
    <row r="4" spans="2:5" ht="18.75" x14ac:dyDescent="0.3">
      <c r="B4" s="72">
        <v>10000</v>
      </c>
      <c r="C4" s="72">
        <v>10000</v>
      </c>
      <c r="D4" s="72">
        <v>10000</v>
      </c>
      <c r="E4" s="72">
        <v>10000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аннуитет (ПЛТ)</vt:lpstr>
      <vt:lpstr>EXCEL2.RU</vt:lpstr>
      <vt:lpstr>аннуитет (без ПЛТ)</vt:lpstr>
      <vt:lpstr>Вклад</vt:lpstr>
      <vt:lpstr>задачи</vt:lpstr>
      <vt:lpstr>зависимости ПЛТ</vt:lpstr>
      <vt:lpstr>Лист7</vt:lpstr>
      <vt:lpstr>схема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2015-04-19T18:31:42Z</dcterms:modified>
</cp:coreProperties>
</file>