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hidePivotFieldList="1" defaultThemeVersion="124226"/>
  <bookViews>
    <workbookView xWindow="1215" yWindow="1665" windowWidth="15480" windowHeight="11160" tabRatio="693" activeTab="1"/>
  </bookViews>
  <sheets>
    <sheet name="Линейный. Годовая сумма АО" sheetId="10" r:id="rId1"/>
    <sheet name="Линейный" sheetId="13" r:id="rId2"/>
    <sheet name="EXCEL2.RU (2)" sheetId="20" state="veryHidden" r:id="rId3"/>
    <sheet name="Уменьшаемый остаток" sheetId="16" r:id="rId4"/>
    <sheet name="Уменьшаемый ост. Год. сумма АО" sheetId="14" r:id="rId5"/>
    <sheet name="Сумма чисел лет" sheetId="17" r:id="rId6"/>
    <sheet name="Нелинейный" sheetId="15" r:id="rId7"/>
    <sheet name="EXCEL2.RU" sheetId="19" r:id="rId8"/>
    <sheet name="Функции" sheetId="9" r:id="rId9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F11" i="15" l="1"/>
  <c r="F12" i="15"/>
  <c r="F13" i="15"/>
  <c r="F14" i="15"/>
  <c r="F15" i="15"/>
  <c r="F16" i="15"/>
  <c r="F17" i="15"/>
  <c r="F18" i="15"/>
  <c r="F19" i="15"/>
  <c r="F20" i="15"/>
  <c r="F10" i="15"/>
  <c r="C11" i="15"/>
  <c r="B11" i="15" s="1"/>
  <c r="C10" i="15"/>
  <c r="B10" i="15"/>
  <c r="B9" i="15"/>
  <c r="C12" i="15" l="1"/>
  <c r="B12" i="15" s="1"/>
  <c r="H15" i="9"/>
  <c r="H16" i="9"/>
  <c r="H17" i="9"/>
  <c r="H18" i="9"/>
  <c r="H19" i="9"/>
  <c r="H20" i="9"/>
  <c r="H21" i="9"/>
  <c r="H22" i="9"/>
  <c r="H23" i="9"/>
  <c r="H24" i="9"/>
  <c r="H14" i="9"/>
  <c r="B25" i="9"/>
  <c r="D25" i="9"/>
  <c r="E16" i="16"/>
  <c r="E12" i="16"/>
  <c r="E13" i="16"/>
  <c r="E14" i="16"/>
  <c r="E15" i="16"/>
  <c r="E11" i="16"/>
  <c r="D42" i="10"/>
  <c r="E27" i="10"/>
  <c r="E13" i="10"/>
  <c r="C13" i="15" l="1"/>
  <c r="B13" i="15" s="1"/>
  <c r="D16" i="17"/>
  <c r="D12" i="17"/>
  <c r="D13" i="17"/>
  <c r="D14" i="17"/>
  <c r="D15" i="17"/>
  <c r="D11" i="17"/>
  <c r="D16" i="16"/>
  <c r="D12" i="16"/>
  <c r="D13" i="16"/>
  <c r="D14" i="16"/>
  <c r="D15" i="16"/>
  <c r="D11" i="16"/>
  <c r="B12" i="17"/>
  <c r="B13" i="17"/>
  <c r="B14" i="17"/>
  <c r="B15" i="17"/>
  <c r="B11" i="17"/>
  <c r="F139" i="17"/>
  <c r="F138" i="17"/>
  <c r="F137" i="17"/>
  <c r="F136" i="17"/>
  <c r="F135" i="17"/>
  <c r="F134" i="17"/>
  <c r="F133" i="17"/>
  <c r="F132" i="17"/>
  <c r="F131" i="17"/>
  <c r="F130" i="17"/>
  <c r="F129" i="17"/>
  <c r="F128" i="17"/>
  <c r="F127" i="17"/>
  <c r="F126" i="17"/>
  <c r="F125" i="17"/>
  <c r="F124" i="17"/>
  <c r="F123" i="17"/>
  <c r="F122" i="17"/>
  <c r="F121" i="17"/>
  <c r="F120" i="17"/>
  <c r="F119" i="17"/>
  <c r="F118" i="17"/>
  <c r="F117" i="17"/>
  <c r="F116" i="17"/>
  <c r="F115" i="17"/>
  <c r="F114" i="17"/>
  <c r="F113" i="17"/>
  <c r="F112" i="17"/>
  <c r="F111" i="17"/>
  <c r="F110" i="17"/>
  <c r="F109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B20" i="17"/>
  <c r="A12" i="17"/>
  <c r="B6" i="17"/>
  <c r="F139" i="16"/>
  <c r="F136" i="16"/>
  <c r="F137" i="16"/>
  <c r="F138" i="16"/>
  <c r="F132" i="16"/>
  <c r="F133" i="16"/>
  <c r="F134" i="16"/>
  <c r="F135" i="16"/>
  <c r="F126" i="16"/>
  <c r="F127" i="16"/>
  <c r="F128" i="16"/>
  <c r="F129" i="16"/>
  <c r="F130" i="16"/>
  <c r="F131" i="16"/>
  <c r="F116" i="16"/>
  <c r="F117" i="16"/>
  <c r="F118" i="16"/>
  <c r="F119" i="16"/>
  <c r="F120" i="16"/>
  <c r="F121" i="16"/>
  <c r="F122" i="16"/>
  <c r="F123" i="16"/>
  <c r="F124" i="16"/>
  <c r="F125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A12" i="16"/>
  <c r="A13" i="16" s="1"/>
  <c r="A14" i="16" s="1"/>
  <c r="A15" i="16" s="1"/>
  <c r="F21" i="16"/>
  <c r="F20" i="16"/>
  <c r="B20" i="16"/>
  <c r="B8" i="16"/>
  <c r="B11" i="16" s="1"/>
  <c r="B6" i="16"/>
  <c r="E20" i="14"/>
  <c r="E19" i="14"/>
  <c r="E18" i="14"/>
  <c r="E17" i="14"/>
  <c r="E16" i="14"/>
  <c r="E21" i="14" s="1"/>
  <c r="B16" i="14"/>
  <c r="B11" i="14"/>
  <c r="C16" i="14" s="1"/>
  <c r="B8" i="14"/>
  <c r="C48" i="13"/>
  <c r="C50" i="13"/>
  <c r="C51" i="13" s="1"/>
  <c r="B45" i="10"/>
  <c r="B40" i="10"/>
  <c r="D43" i="10" s="1"/>
  <c r="B30" i="10"/>
  <c r="B25" i="10"/>
  <c r="B15" i="10"/>
  <c r="B11" i="10"/>
  <c r="B51" i="13"/>
  <c r="C49" i="13"/>
  <c r="B49" i="13"/>
  <c r="B50" i="13"/>
  <c r="B4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18" i="13"/>
  <c r="A50" i="13"/>
  <c r="A49" i="13"/>
  <c r="A4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18" i="13"/>
  <c r="B15" i="13"/>
  <c r="B14" i="13"/>
  <c r="B13" i="13"/>
  <c r="B8" i="17"/>
  <c r="C14" i="15" l="1"/>
  <c r="B14" i="15" s="1"/>
  <c r="A13" i="17"/>
  <c r="A14" i="17" s="1"/>
  <c r="A15" i="17" s="1"/>
  <c r="B12" i="16"/>
  <c r="C12" i="16" s="1"/>
  <c r="C42" i="16" s="1"/>
  <c r="C11" i="16"/>
  <c r="B13" i="16"/>
  <c r="C40" i="16"/>
  <c r="C36" i="16"/>
  <c r="C32" i="16"/>
  <c r="C41" i="16"/>
  <c r="C37" i="16"/>
  <c r="C33" i="16"/>
  <c r="D16" i="14"/>
  <c r="B17" i="14" s="1"/>
  <c r="B43" i="10"/>
  <c r="I63" i="13"/>
  <c r="I64" i="13"/>
  <c r="I65" i="13"/>
  <c r="I66" i="13"/>
  <c r="I67" i="13"/>
  <c r="I68" i="13"/>
  <c r="I69" i="13"/>
  <c r="I70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19" i="13"/>
  <c r="I20" i="13"/>
  <c r="I21" i="13"/>
  <c r="I22" i="13"/>
  <c r="I23" i="13"/>
  <c r="I24" i="13"/>
  <c r="I25" i="13"/>
  <c r="I26" i="13"/>
  <c r="I27" i="13"/>
  <c r="I18" i="13"/>
  <c r="C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18" i="13"/>
  <c r="B9" i="13"/>
  <c r="D19" i="13" s="1"/>
  <c r="B12" i="13"/>
  <c r="B11" i="13"/>
  <c r="C15" i="15" l="1"/>
  <c r="B15" i="15" s="1"/>
  <c r="C35" i="16"/>
  <c r="C39" i="16"/>
  <c r="C43" i="16"/>
  <c r="C34" i="16"/>
  <c r="C38" i="16"/>
  <c r="C11" i="17"/>
  <c r="C21" i="16"/>
  <c r="C23" i="16"/>
  <c r="C25" i="16"/>
  <c r="C27" i="16"/>
  <c r="C29" i="16"/>
  <c r="C31" i="16"/>
  <c r="C22" i="16"/>
  <c r="C24" i="16"/>
  <c r="C26" i="16"/>
  <c r="C28" i="16"/>
  <c r="C30" i="16"/>
  <c r="C20" i="16"/>
  <c r="B14" i="16"/>
  <c r="C13" i="16"/>
  <c r="C17" i="14"/>
  <c r="D17" i="14" s="1"/>
  <c r="B18" i="14" s="1"/>
  <c r="D44" i="13"/>
  <c r="D42" i="13"/>
  <c r="D40" i="13"/>
  <c r="D38" i="13"/>
  <c r="D36" i="13"/>
  <c r="D34" i="13"/>
  <c r="D32" i="13"/>
  <c r="D30" i="13"/>
  <c r="D28" i="13"/>
  <c r="D26" i="13"/>
  <c r="D24" i="13"/>
  <c r="D22" i="13"/>
  <c r="D20" i="13"/>
  <c r="D18" i="13"/>
  <c r="D43" i="13"/>
  <c r="D41" i="13"/>
  <c r="D39" i="13"/>
  <c r="D37" i="13"/>
  <c r="D35" i="13"/>
  <c r="D33" i="13"/>
  <c r="D31" i="13"/>
  <c r="D29" i="13"/>
  <c r="D27" i="13"/>
  <c r="D25" i="13"/>
  <c r="D23" i="13"/>
  <c r="D21" i="13"/>
  <c r="E18" i="13"/>
  <c r="C19" i="13" s="1"/>
  <c r="E19" i="13" s="1"/>
  <c r="C20" i="13" s="1"/>
  <c r="E20" i="13" s="1"/>
  <c r="C21" i="13" s="1"/>
  <c r="C16" i="15" l="1"/>
  <c r="B16" i="15" s="1"/>
  <c r="C30" i="17"/>
  <c r="C28" i="17"/>
  <c r="C26" i="17"/>
  <c r="C24" i="17"/>
  <c r="C22" i="17"/>
  <c r="C20" i="17"/>
  <c r="C31" i="17"/>
  <c r="C29" i="17"/>
  <c r="C27" i="17"/>
  <c r="C25" i="17"/>
  <c r="C23" i="17"/>
  <c r="C21" i="17"/>
  <c r="C12" i="17"/>
  <c r="C13" i="17"/>
  <c r="C52" i="16"/>
  <c r="C48" i="16"/>
  <c r="C44" i="16"/>
  <c r="C53" i="16"/>
  <c r="C49" i="16"/>
  <c r="C45" i="16"/>
  <c r="C54" i="16"/>
  <c r="C50" i="16"/>
  <c r="C46" i="16"/>
  <c r="C55" i="16"/>
  <c r="C51" i="16"/>
  <c r="C47" i="16"/>
  <c r="B15" i="16"/>
  <c r="C14" i="16"/>
  <c r="B21" i="16"/>
  <c r="D20" i="16"/>
  <c r="C18" i="14"/>
  <c r="D18" i="14" s="1"/>
  <c r="B19" i="14" s="1"/>
  <c r="J23" i="13"/>
  <c r="J22" i="13"/>
  <c r="D45" i="13"/>
  <c r="J21" i="13"/>
  <c r="J19" i="13"/>
  <c r="J18" i="13" s="1"/>
  <c r="J20" i="13"/>
  <c r="E21" i="13"/>
  <c r="B38" i="10"/>
  <c r="D41" i="10" s="1"/>
  <c r="C17" i="15" l="1"/>
  <c r="B17" i="15" s="1"/>
  <c r="G21" i="16"/>
  <c r="G20" i="16" s="1"/>
  <c r="C41" i="17"/>
  <c r="C33" i="17"/>
  <c r="C37" i="17"/>
  <c r="C43" i="17"/>
  <c r="C34" i="17"/>
  <c r="C38" i="17"/>
  <c r="C42" i="17"/>
  <c r="C35" i="17"/>
  <c r="C39" i="17"/>
  <c r="C32" i="17"/>
  <c r="C36" i="17"/>
  <c r="C40" i="17"/>
  <c r="C55" i="17"/>
  <c r="C51" i="17"/>
  <c r="C47" i="17"/>
  <c r="C52" i="17"/>
  <c r="C44" i="17"/>
  <c r="C46" i="17"/>
  <c r="C48" i="17"/>
  <c r="C53" i="17"/>
  <c r="C49" i="17"/>
  <c r="C45" i="17"/>
  <c r="C54" i="17"/>
  <c r="C50" i="17"/>
  <c r="B21" i="17"/>
  <c r="D20" i="17"/>
  <c r="G21" i="17" s="1"/>
  <c r="G20" i="17" s="1"/>
  <c r="C64" i="16"/>
  <c r="C60" i="16"/>
  <c r="C56" i="16"/>
  <c r="C65" i="16"/>
  <c r="C61" i="16"/>
  <c r="C57" i="16"/>
  <c r="C66" i="16"/>
  <c r="C62" i="16"/>
  <c r="C58" i="16"/>
  <c r="C67" i="16"/>
  <c r="C63" i="16"/>
  <c r="C59" i="16"/>
  <c r="C15" i="16"/>
  <c r="B16" i="16"/>
  <c r="B22" i="16"/>
  <c r="D21" i="16"/>
  <c r="C19" i="14"/>
  <c r="D19" i="14" s="1"/>
  <c r="B20" i="14" s="1"/>
  <c r="B41" i="10"/>
  <c r="B46" i="10"/>
  <c r="B42" i="10" s="1"/>
  <c r="C22" i="13"/>
  <c r="J24" i="13"/>
  <c r="J25" i="13"/>
  <c r="E22" i="13"/>
  <c r="D27" i="10"/>
  <c r="D13" i="10"/>
  <c r="B27" i="10"/>
  <c r="B23" i="10"/>
  <c r="B9" i="10"/>
  <c r="B12" i="10"/>
  <c r="B13" i="10" s="1"/>
  <c r="B14" i="10" s="1"/>
  <c r="C18" i="15" l="1"/>
  <c r="B18" i="15" s="1"/>
  <c r="E28" i="10"/>
  <c r="E26" i="10"/>
  <c r="B44" i="10"/>
  <c r="G22" i="16"/>
  <c r="G23" i="16"/>
  <c r="C75" i="16"/>
  <c r="C77" i="16"/>
  <c r="C79" i="16"/>
  <c r="C76" i="16"/>
  <c r="C72" i="16"/>
  <c r="C74" i="16"/>
  <c r="C78" i="16"/>
  <c r="C73" i="16"/>
  <c r="C14" i="17"/>
  <c r="D21" i="17"/>
  <c r="B22" i="17"/>
  <c r="C15" i="17"/>
  <c r="C68" i="16"/>
  <c r="C69" i="16"/>
  <c r="C70" i="16"/>
  <c r="C71" i="16"/>
  <c r="D22" i="16"/>
  <c r="B23" i="16"/>
  <c r="C20" i="14"/>
  <c r="D20" i="14" s="1"/>
  <c r="C23" i="13"/>
  <c r="J26" i="13"/>
  <c r="J27" i="13"/>
  <c r="E23" i="13"/>
  <c r="D26" i="10"/>
  <c r="B26" i="10"/>
  <c r="D28" i="10"/>
  <c r="B28" i="10"/>
  <c r="K10" i="9"/>
  <c r="C19" i="15" l="1"/>
  <c r="B19" i="15" s="1"/>
  <c r="G24" i="16"/>
  <c r="G25" i="16"/>
  <c r="C78" i="17"/>
  <c r="C74" i="17"/>
  <c r="C70" i="17"/>
  <c r="C77" i="17"/>
  <c r="C73" i="17"/>
  <c r="C69" i="17"/>
  <c r="C76" i="17"/>
  <c r="C72" i="17"/>
  <c r="C68" i="17"/>
  <c r="C79" i="17"/>
  <c r="C75" i="17"/>
  <c r="C71" i="17"/>
  <c r="B23" i="17"/>
  <c r="D22" i="17"/>
  <c r="B16" i="17"/>
  <c r="G23" i="17"/>
  <c r="G22" i="17"/>
  <c r="C67" i="17"/>
  <c r="C63" i="17"/>
  <c r="C59" i="17"/>
  <c r="C64" i="17"/>
  <c r="C60" i="17"/>
  <c r="C56" i="17"/>
  <c r="C65" i="17"/>
  <c r="C61" i="17"/>
  <c r="C57" i="17"/>
  <c r="C66" i="17"/>
  <c r="C62" i="17"/>
  <c r="C58" i="17"/>
  <c r="B24" i="16"/>
  <c r="D23" i="16"/>
  <c r="C21" i="14"/>
  <c r="C24" i="13"/>
  <c r="J28" i="13"/>
  <c r="J29" i="13"/>
  <c r="E24" i="13"/>
  <c r="B29" i="10"/>
  <c r="D23" i="9"/>
  <c r="D22" i="9"/>
  <c r="D21" i="9"/>
  <c r="D20" i="9"/>
  <c r="D19" i="9"/>
  <c r="D18" i="9"/>
  <c r="D17" i="9"/>
  <c r="D16" i="9"/>
  <c r="D15" i="9"/>
  <c r="D14" i="9"/>
  <c r="H25" i="9"/>
  <c r="N14" i="9"/>
  <c r="N15" i="9" s="1"/>
  <c r="C20" i="15" l="1"/>
  <c r="B20" i="15" s="1"/>
  <c r="G26" i="16"/>
  <c r="G27" i="16"/>
  <c r="G24" i="17"/>
  <c r="G25" i="17"/>
  <c r="D23" i="17"/>
  <c r="B24" i="17"/>
  <c r="D24" i="16"/>
  <c r="B25" i="16"/>
  <c r="C25" i="13"/>
  <c r="J31" i="13"/>
  <c r="J30" i="13"/>
  <c r="E25" i="13"/>
  <c r="D24" i="9"/>
  <c r="N16" i="9"/>
  <c r="N17" i="9" s="1"/>
  <c r="M15" i="9"/>
  <c r="M16" i="9"/>
  <c r="M17" i="9"/>
  <c r="M18" i="9"/>
  <c r="M19" i="9"/>
  <c r="M20" i="9"/>
  <c r="M21" i="9"/>
  <c r="M22" i="9"/>
  <c r="M23" i="9"/>
  <c r="M14" i="9"/>
  <c r="L14" i="9"/>
  <c r="L15" i="9" s="1"/>
  <c r="L16" i="9" s="1"/>
  <c r="K14" i="9"/>
  <c r="K15" i="9" s="1"/>
  <c r="C14" i="9"/>
  <c r="J15" i="9"/>
  <c r="J16" i="9"/>
  <c r="J17" i="9"/>
  <c r="J18" i="9"/>
  <c r="J19" i="9"/>
  <c r="J20" i="9"/>
  <c r="J21" i="9"/>
  <c r="J22" i="9"/>
  <c r="J23" i="9"/>
  <c r="J14" i="9"/>
  <c r="G28" i="16" l="1"/>
  <c r="G29" i="16"/>
  <c r="B25" i="17"/>
  <c r="D24" i="17"/>
  <c r="G27" i="17"/>
  <c r="G26" i="17"/>
  <c r="B26" i="16"/>
  <c r="D25" i="16"/>
  <c r="C26" i="13"/>
  <c r="E26" i="13" s="1"/>
  <c r="J33" i="13"/>
  <c r="J32" i="13"/>
  <c r="J24" i="9"/>
  <c r="N18" i="9"/>
  <c r="N19" i="9" s="1"/>
  <c r="M24" i="9"/>
  <c r="L17" i="9"/>
  <c r="L18" i="9" s="1"/>
  <c r="K16" i="9"/>
  <c r="K17" i="9" s="1"/>
  <c r="G30" i="16" l="1"/>
  <c r="G31" i="16"/>
  <c r="G28" i="17"/>
  <c r="G29" i="17"/>
  <c r="D25" i="17"/>
  <c r="B26" i="17"/>
  <c r="D26" i="16"/>
  <c r="B27" i="16"/>
  <c r="C27" i="13"/>
  <c r="J35" i="13"/>
  <c r="J34" i="13"/>
  <c r="E27" i="13"/>
  <c r="N20" i="9"/>
  <c r="L19" i="9"/>
  <c r="K18" i="9"/>
  <c r="K19" i="9" s="1"/>
  <c r="E15" i="9"/>
  <c r="E16" i="9"/>
  <c r="E17" i="9"/>
  <c r="E18" i="9"/>
  <c r="E19" i="9"/>
  <c r="E20" i="9"/>
  <c r="E21" i="9"/>
  <c r="E22" i="9"/>
  <c r="E23" i="9"/>
  <c r="E14" i="9"/>
  <c r="C15" i="9"/>
  <c r="C16" i="9"/>
  <c r="C17" i="9"/>
  <c r="C18" i="9"/>
  <c r="C19" i="9"/>
  <c r="C20" i="9"/>
  <c r="C21" i="9"/>
  <c r="C22" i="9"/>
  <c r="C23" i="9"/>
  <c r="B15" i="9"/>
  <c r="B16" i="9"/>
  <c r="B17" i="9"/>
  <c r="B18" i="9"/>
  <c r="B19" i="9"/>
  <c r="B20" i="9"/>
  <c r="B21" i="9"/>
  <c r="B22" i="9"/>
  <c r="B23" i="9"/>
  <c r="B14" i="9"/>
  <c r="E24" i="9" l="1"/>
  <c r="G32" i="16"/>
  <c r="G33" i="16"/>
  <c r="B27" i="17"/>
  <c r="D26" i="17"/>
  <c r="G31" i="17"/>
  <c r="G30" i="17"/>
  <c r="B28" i="16"/>
  <c r="D27" i="16"/>
  <c r="C28" i="13"/>
  <c r="E28" i="13" s="1"/>
  <c r="J37" i="13"/>
  <c r="J36" i="13"/>
  <c r="B24" i="9"/>
  <c r="C24" i="9"/>
  <c r="N21" i="9"/>
  <c r="N22" i="9" s="1"/>
  <c r="N23" i="9" s="1"/>
  <c r="N24" i="9" s="1"/>
  <c r="L20" i="9"/>
  <c r="L21" i="9" s="1"/>
  <c r="K20" i="9"/>
  <c r="K21" i="9" s="1"/>
  <c r="G34" i="16" l="1"/>
  <c r="G35" i="16"/>
  <c r="G32" i="17"/>
  <c r="G33" i="17"/>
  <c r="D27" i="17"/>
  <c r="B28" i="17"/>
  <c r="B29" i="16"/>
  <c r="D28" i="16"/>
  <c r="C29" i="13"/>
  <c r="J39" i="13"/>
  <c r="J38" i="13"/>
  <c r="E29" i="13"/>
  <c r="L22" i="9"/>
  <c r="L23" i="9" s="1"/>
  <c r="L24" i="9" s="1"/>
  <c r="N25" i="9"/>
  <c r="K22" i="9"/>
  <c r="K23" i="9" s="1"/>
  <c r="G36" i="16" l="1"/>
  <c r="G37" i="16"/>
  <c r="G35" i="17"/>
  <c r="G34" i="17"/>
  <c r="B29" i="17"/>
  <c r="D28" i="17"/>
  <c r="B30" i="16"/>
  <c r="D29" i="16"/>
  <c r="C30" i="13"/>
  <c r="J41" i="13"/>
  <c r="J40" i="13"/>
  <c r="E30" i="13"/>
  <c r="K24" i="9"/>
  <c r="G38" i="16" l="1"/>
  <c r="G39" i="16"/>
  <c r="D29" i="17"/>
  <c r="B30" i="17"/>
  <c r="G36" i="17"/>
  <c r="G37" i="17"/>
  <c r="D30" i="16"/>
  <c r="B31" i="16"/>
  <c r="C31" i="13"/>
  <c r="E31" i="13" s="1"/>
  <c r="J43" i="13"/>
  <c r="J42" i="13"/>
  <c r="G40" i="16" l="1"/>
  <c r="G41" i="16"/>
  <c r="B31" i="17"/>
  <c r="D30" i="17"/>
  <c r="G39" i="17"/>
  <c r="G38" i="17"/>
  <c r="B32" i="16"/>
  <c r="D31" i="16"/>
  <c r="C32" i="13"/>
  <c r="E32" i="13" s="1"/>
  <c r="J45" i="13"/>
  <c r="J44" i="13"/>
  <c r="G42" i="16" l="1"/>
  <c r="G43" i="16"/>
  <c r="G40" i="17"/>
  <c r="G41" i="17"/>
  <c r="D31" i="17"/>
  <c r="B32" i="17"/>
  <c r="D32" i="16"/>
  <c r="B33" i="16"/>
  <c r="C33" i="13"/>
  <c r="E33" i="13" s="1"/>
  <c r="J47" i="13"/>
  <c r="J46" i="13"/>
  <c r="G44" i="16" l="1"/>
  <c r="G45" i="16"/>
  <c r="G43" i="17"/>
  <c r="G42" i="17"/>
  <c r="B33" i="17"/>
  <c r="D32" i="17"/>
  <c r="B34" i="16"/>
  <c r="D33" i="16"/>
  <c r="C34" i="13"/>
  <c r="E34" i="13" s="1"/>
  <c r="J49" i="13"/>
  <c r="J48" i="13"/>
  <c r="G46" i="16" l="1"/>
  <c r="G47" i="16"/>
  <c r="D33" i="17"/>
  <c r="B34" i="17"/>
  <c r="G45" i="17"/>
  <c r="G44" i="17"/>
  <c r="D34" i="16"/>
  <c r="B35" i="16"/>
  <c r="C35" i="13"/>
  <c r="E35" i="13" s="1"/>
  <c r="J51" i="13"/>
  <c r="J50" i="13"/>
  <c r="G48" i="16" l="1"/>
  <c r="G49" i="16"/>
  <c r="B35" i="17"/>
  <c r="D34" i="17"/>
  <c r="G47" i="17"/>
  <c r="G46" i="17"/>
  <c r="B36" i="16"/>
  <c r="D35" i="16"/>
  <c r="C36" i="13"/>
  <c r="E36" i="13" s="1"/>
  <c r="J53" i="13"/>
  <c r="J52" i="13"/>
  <c r="G50" i="16" l="1"/>
  <c r="G51" i="16"/>
  <c r="G49" i="17"/>
  <c r="G48" i="17"/>
  <c r="D35" i="17"/>
  <c r="B36" i="17"/>
  <c r="D36" i="16"/>
  <c r="B37" i="16"/>
  <c r="C37" i="13"/>
  <c r="E37" i="13" s="1"/>
  <c r="J55" i="13"/>
  <c r="J54" i="13"/>
  <c r="G52" i="16" l="1"/>
  <c r="G53" i="16"/>
  <c r="G51" i="17"/>
  <c r="G50" i="17"/>
  <c r="B37" i="17"/>
  <c r="D36" i="17"/>
  <c r="B38" i="16"/>
  <c r="D37" i="16"/>
  <c r="C38" i="13"/>
  <c r="E38" i="13" s="1"/>
  <c r="J57" i="13"/>
  <c r="J56" i="13"/>
  <c r="G54" i="16" l="1"/>
  <c r="G55" i="16"/>
  <c r="D37" i="17"/>
  <c r="B38" i="17"/>
  <c r="G53" i="17"/>
  <c r="G52" i="17"/>
  <c r="D38" i="16"/>
  <c r="B39" i="16"/>
  <c r="C39" i="13"/>
  <c r="E39" i="13" s="1"/>
  <c r="J59" i="13"/>
  <c r="J58" i="13"/>
  <c r="G56" i="16" l="1"/>
  <c r="G57" i="16"/>
  <c r="B39" i="17"/>
  <c r="D38" i="17"/>
  <c r="G55" i="17"/>
  <c r="G54" i="17"/>
  <c r="B40" i="16"/>
  <c r="D39" i="16"/>
  <c r="C40" i="13"/>
  <c r="E40" i="13" s="1"/>
  <c r="J61" i="13"/>
  <c r="J60" i="13"/>
  <c r="G58" i="16" l="1"/>
  <c r="G59" i="16"/>
  <c r="G57" i="17"/>
  <c r="G56" i="17"/>
  <c r="D39" i="17"/>
  <c r="B40" i="17"/>
  <c r="D40" i="16"/>
  <c r="B41" i="16"/>
  <c r="C41" i="13"/>
  <c r="E41" i="13" s="1"/>
  <c r="J63" i="13"/>
  <c r="J62" i="13"/>
  <c r="G60" i="16" l="1"/>
  <c r="G61" i="16"/>
  <c r="G59" i="17"/>
  <c r="G58" i="17"/>
  <c r="B41" i="17"/>
  <c r="D40" i="17"/>
  <c r="B42" i="16"/>
  <c r="D41" i="16"/>
  <c r="C42" i="13"/>
  <c r="E42" i="13" s="1"/>
  <c r="J65" i="13"/>
  <c r="J64" i="13"/>
  <c r="G62" i="16" l="1"/>
  <c r="G63" i="16"/>
  <c r="G61" i="17"/>
  <c r="G60" i="17"/>
  <c r="D41" i="17"/>
  <c r="B42" i="17"/>
  <c r="D42" i="16"/>
  <c r="B43" i="16"/>
  <c r="C43" i="13"/>
  <c r="J66" i="13"/>
  <c r="J67" i="13"/>
  <c r="E43" i="13"/>
  <c r="G64" i="16" l="1"/>
  <c r="G65" i="16"/>
  <c r="G63" i="17"/>
  <c r="G62" i="17"/>
  <c r="B43" i="17"/>
  <c r="D42" i="17"/>
  <c r="B44" i="16"/>
  <c r="D43" i="16"/>
  <c r="C44" i="13"/>
  <c r="J69" i="13"/>
  <c r="J68" i="13"/>
  <c r="E44" i="13"/>
  <c r="J70" i="13" s="1"/>
  <c r="G66" i="16" l="1"/>
  <c r="G67" i="16"/>
  <c r="B44" i="17"/>
  <c r="D43" i="17"/>
  <c r="G65" i="17"/>
  <c r="G64" i="17"/>
  <c r="B45" i="16"/>
  <c r="D44" i="16"/>
  <c r="G68" i="16" l="1"/>
  <c r="G69" i="16"/>
  <c r="G67" i="17"/>
  <c r="G66" i="17"/>
  <c r="D44" i="17"/>
  <c r="B45" i="17"/>
  <c r="D45" i="16"/>
  <c r="B46" i="16"/>
  <c r="G70" i="16" l="1"/>
  <c r="G71" i="16"/>
  <c r="G68" i="17"/>
  <c r="G69" i="17"/>
  <c r="B46" i="17"/>
  <c r="D45" i="17"/>
  <c r="B47" i="16"/>
  <c r="D46" i="16"/>
  <c r="G72" i="16" l="1"/>
  <c r="G73" i="16"/>
  <c r="D46" i="17"/>
  <c r="B47" i="17"/>
  <c r="G71" i="17"/>
  <c r="G70" i="17"/>
  <c r="D47" i="16"/>
  <c r="B48" i="16"/>
  <c r="G74" i="16" l="1"/>
  <c r="G75" i="16"/>
  <c r="G72" i="17"/>
  <c r="G73" i="17"/>
  <c r="B48" i="17"/>
  <c r="D47" i="17"/>
  <c r="B49" i="16"/>
  <c r="D48" i="16"/>
  <c r="G76" i="16" l="1"/>
  <c r="G77" i="16"/>
  <c r="D48" i="17"/>
  <c r="B49" i="17"/>
  <c r="G75" i="17"/>
  <c r="G74" i="17"/>
  <c r="D49" i="16"/>
  <c r="B50" i="16"/>
  <c r="G78" i="16" l="1"/>
  <c r="G79" i="16"/>
  <c r="B50" i="17"/>
  <c r="D49" i="17"/>
  <c r="G76" i="17"/>
  <c r="G77" i="17"/>
  <c r="B51" i="16"/>
  <c r="D50" i="16"/>
  <c r="G80" i="16" l="1"/>
  <c r="G81" i="16"/>
  <c r="G79" i="17"/>
  <c r="G78" i="17"/>
  <c r="D50" i="17"/>
  <c r="B51" i="17"/>
  <c r="D51" i="16"/>
  <c r="B52" i="16"/>
  <c r="G82" i="16" l="1"/>
  <c r="G83" i="16"/>
  <c r="G81" i="17"/>
  <c r="G80" i="17"/>
  <c r="B52" i="17"/>
  <c r="D51" i="17"/>
  <c r="B53" i="16"/>
  <c r="D52" i="16"/>
  <c r="G84" i="16" l="1"/>
  <c r="G85" i="16"/>
  <c r="D52" i="17"/>
  <c r="B53" i="17"/>
  <c r="G83" i="17"/>
  <c r="G82" i="17"/>
  <c r="D53" i="16"/>
  <c r="B54" i="16"/>
  <c r="G86" i="16" l="1"/>
  <c r="G87" i="16"/>
  <c r="B54" i="17"/>
  <c r="D53" i="17"/>
  <c r="G85" i="17"/>
  <c r="G84" i="17"/>
  <c r="B55" i="16"/>
  <c r="D54" i="16"/>
  <c r="G89" i="16" l="1"/>
  <c r="G88" i="16"/>
  <c r="G87" i="17"/>
  <c r="G86" i="17"/>
  <c r="D54" i="17"/>
  <c r="B55" i="17"/>
  <c r="B56" i="16"/>
  <c r="D55" i="16"/>
  <c r="G90" i="16" l="1"/>
  <c r="G91" i="16"/>
  <c r="G89" i="17"/>
  <c r="G88" i="17"/>
  <c r="B56" i="17"/>
  <c r="D55" i="17"/>
  <c r="B57" i="16"/>
  <c r="D56" i="16"/>
  <c r="G92" i="16" l="1"/>
  <c r="G93" i="16"/>
  <c r="D56" i="17"/>
  <c r="B57" i="17"/>
  <c r="G91" i="17"/>
  <c r="G90" i="17"/>
  <c r="B58" i="16"/>
  <c r="D57" i="16"/>
  <c r="G94" i="16" l="1"/>
  <c r="G95" i="16"/>
  <c r="B58" i="17"/>
  <c r="D57" i="17"/>
  <c r="G93" i="17"/>
  <c r="G92" i="17"/>
  <c r="B59" i="16"/>
  <c r="D58" i="16"/>
  <c r="G96" i="16" l="1"/>
  <c r="G97" i="16"/>
  <c r="G95" i="17"/>
  <c r="G94" i="17"/>
  <c r="D58" i="17"/>
  <c r="B59" i="17"/>
  <c r="B60" i="16"/>
  <c r="D59" i="16"/>
  <c r="G98" i="16" l="1"/>
  <c r="G99" i="16"/>
  <c r="B60" i="17"/>
  <c r="D59" i="17"/>
  <c r="G97" i="17"/>
  <c r="G96" i="17"/>
  <c r="D60" i="16"/>
  <c r="B61" i="16"/>
  <c r="G101" i="16" l="1"/>
  <c r="G100" i="16"/>
  <c r="G99" i="17"/>
  <c r="G98" i="17"/>
  <c r="D60" i="17"/>
  <c r="B61" i="17"/>
  <c r="B62" i="16"/>
  <c r="D61" i="16"/>
  <c r="G102" i="16" l="1"/>
  <c r="G103" i="16"/>
  <c r="G101" i="17"/>
  <c r="G100" i="17"/>
  <c r="B62" i="17"/>
  <c r="D61" i="17"/>
  <c r="D62" i="16"/>
  <c r="B63" i="16"/>
  <c r="G104" i="16" l="1"/>
  <c r="G105" i="16"/>
  <c r="D62" i="17"/>
  <c r="B63" i="17"/>
  <c r="G103" i="17"/>
  <c r="G102" i="17"/>
  <c r="B64" i="16"/>
  <c r="D63" i="16"/>
  <c r="G106" i="16" l="1"/>
  <c r="G107" i="16"/>
  <c r="B64" i="17"/>
  <c r="D63" i="17"/>
  <c r="G105" i="17"/>
  <c r="G104" i="17"/>
  <c r="D64" i="16"/>
  <c r="B65" i="16"/>
  <c r="G108" i="16" l="1"/>
  <c r="G109" i="16"/>
  <c r="G107" i="17"/>
  <c r="G106" i="17"/>
  <c r="D64" i="17"/>
  <c r="B65" i="17"/>
  <c r="B66" i="16"/>
  <c r="D65" i="16"/>
  <c r="G110" i="16" l="1"/>
  <c r="G111" i="16"/>
  <c r="B66" i="17"/>
  <c r="D65" i="17"/>
  <c r="G109" i="17"/>
  <c r="G108" i="17"/>
  <c r="D66" i="16"/>
  <c r="B67" i="16"/>
  <c r="G112" i="16" l="1"/>
  <c r="G113" i="16"/>
  <c r="G111" i="17"/>
  <c r="G110" i="17"/>
  <c r="D66" i="17"/>
  <c r="B67" i="17"/>
  <c r="B68" i="16"/>
  <c r="D67" i="16"/>
  <c r="G114" i="16" l="1"/>
  <c r="G115" i="16"/>
  <c r="G113" i="17"/>
  <c r="G112" i="17"/>
  <c r="B68" i="17"/>
  <c r="D67" i="17"/>
  <c r="D68" i="16"/>
  <c r="B69" i="16"/>
  <c r="G116" i="16" l="1"/>
  <c r="G117" i="16"/>
  <c r="G115" i="17"/>
  <c r="G114" i="17"/>
  <c r="B69" i="17"/>
  <c r="D68" i="17"/>
  <c r="B70" i="16"/>
  <c r="D69" i="16"/>
  <c r="G118" i="16" l="1"/>
  <c r="G119" i="16"/>
  <c r="G117" i="17"/>
  <c r="G116" i="17"/>
  <c r="D69" i="17"/>
  <c r="B70" i="17"/>
  <c r="B71" i="16"/>
  <c r="B72" i="16" s="1"/>
  <c r="D70" i="16"/>
  <c r="B73" i="16" l="1"/>
  <c r="D72" i="16"/>
  <c r="G120" i="16"/>
  <c r="G121" i="16"/>
  <c r="B71" i="17"/>
  <c r="D70" i="17"/>
  <c r="G119" i="17"/>
  <c r="G118" i="17"/>
  <c r="D71" i="16"/>
  <c r="G122" i="16" l="1"/>
  <c r="G123" i="16"/>
  <c r="G124" i="16"/>
  <c r="G125" i="16"/>
  <c r="B74" i="16"/>
  <c r="D73" i="16"/>
  <c r="G121" i="17"/>
  <c r="G120" i="17"/>
  <c r="D71" i="17"/>
  <c r="B72" i="17"/>
  <c r="D74" i="16" l="1"/>
  <c r="B75" i="16"/>
  <c r="G126" i="16"/>
  <c r="G127" i="16"/>
  <c r="B73" i="17"/>
  <c r="D72" i="17"/>
  <c r="G123" i="17"/>
  <c r="G122" i="17"/>
  <c r="D75" i="16" l="1"/>
  <c r="B76" i="16"/>
  <c r="G128" i="16"/>
  <c r="G129" i="16"/>
  <c r="D73" i="17"/>
  <c r="B74" i="17"/>
  <c r="G125" i="17"/>
  <c r="G124" i="17"/>
  <c r="D76" i="16" l="1"/>
  <c r="B77" i="16"/>
  <c r="G130" i="16"/>
  <c r="G131" i="16"/>
  <c r="G127" i="17"/>
  <c r="G126" i="17"/>
  <c r="B75" i="17"/>
  <c r="D74" i="17"/>
  <c r="B78" i="16" l="1"/>
  <c r="D77" i="16"/>
  <c r="G132" i="16"/>
  <c r="G133" i="16"/>
  <c r="G129" i="17"/>
  <c r="G128" i="17"/>
  <c r="D75" i="17"/>
  <c r="B76" i="17"/>
  <c r="G135" i="16" l="1"/>
  <c r="G134" i="16"/>
  <c r="D78" i="16"/>
  <c r="B79" i="16"/>
  <c r="D79" i="16" s="1"/>
  <c r="B77" i="17"/>
  <c r="D76" i="17"/>
  <c r="G131" i="17"/>
  <c r="G130" i="17"/>
  <c r="G136" i="16" l="1"/>
  <c r="G137" i="16"/>
  <c r="G139" i="16"/>
  <c r="G138" i="16"/>
  <c r="G133" i="17"/>
  <c r="G132" i="17"/>
  <c r="D77" i="17"/>
  <c r="B78" i="17"/>
  <c r="G135" i="17" l="1"/>
  <c r="G134" i="17"/>
  <c r="B79" i="17"/>
  <c r="D79" i="17" s="1"/>
  <c r="D78" i="17"/>
  <c r="G137" i="17" l="1"/>
  <c r="G136" i="17"/>
  <c r="G139" i="17"/>
  <c r="G138" i="17"/>
</calcChain>
</file>

<file path=xl/sharedStrings.xml><?xml version="1.0" encoding="utf-8"?>
<sst xmlns="http://schemas.openxmlformats.org/spreadsheetml/2006/main" count="229" uniqueCount="100">
  <si>
    <t>Файл скачан с сайта excel2.ru</t>
  </si>
  <si>
    <t>http://www.excel2.ru</t>
  </si>
  <si>
    <t>Ед. изм.</t>
  </si>
  <si>
    <t>Значение</t>
  </si>
  <si>
    <t>руб.</t>
  </si>
  <si>
    <t>лет</t>
  </si>
  <si>
    <t xml:space="preserve">Параметры </t>
  </si>
  <si>
    <t>Начальная стоимость</t>
  </si>
  <si>
    <t>Срок эксплуатации</t>
  </si>
  <si>
    <t>Остаточная стоимость</t>
  </si>
  <si>
    <t>Линейный метод (АПЛ)</t>
  </si>
  <si>
    <t>Метод двойного уменьшения остатка (ДДОБ)</t>
  </si>
  <si>
    <t>Метод суммы годовых чисел (АСЧ)</t>
  </si>
  <si>
    <t>Период (год)</t>
  </si>
  <si>
    <t>Величина амортизации актива за период (шаг = год)</t>
  </si>
  <si>
    <t>Альтернативные формулы</t>
  </si>
  <si>
    <t>Ставка (для ФУО)</t>
  </si>
  <si>
    <t>Коэффициент (для ДДОБ)</t>
  </si>
  <si>
    <r>
      <t xml:space="preserve">Метод фиксированного уменьшения остатка (ФУО), </t>
    </r>
    <r>
      <rPr>
        <b/>
        <sz val="11"/>
        <color rgb="FFFF0000"/>
        <rFont val="Calibri"/>
        <family val="2"/>
        <charset val="204"/>
        <scheme val="minor"/>
      </rPr>
      <t>[месяцы]&lt;&gt;12</t>
    </r>
  </si>
  <si>
    <t>Месяцы (для ФУО)</t>
  </si>
  <si>
    <r>
      <t>Метод фиксированного уменьшения остатка (ФУО),</t>
    </r>
    <r>
      <rPr>
        <b/>
        <sz val="11"/>
        <color rgb="FFFF0000"/>
        <rFont val="Calibri"/>
        <family val="2"/>
        <charset val="204"/>
        <scheme val="minor"/>
      </rPr>
      <t xml:space="preserve"> [месяцы]=12</t>
    </r>
  </si>
  <si>
    <r>
      <t xml:space="preserve">К статье </t>
    </r>
    <r>
      <rPr>
        <b/>
        <sz val="11"/>
        <color theme="1"/>
        <rFont val="Calibri"/>
        <family val="2"/>
        <charset val="204"/>
        <scheme val="minor"/>
      </rPr>
      <t>Расчет амортизационных отчислений</t>
    </r>
  </si>
  <si>
    <t xml:space="preserve">Расчет Годовой суммы амортизации </t>
  </si>
  <si>
    <t>Первоначальная стоимость основного средства</t>
  </si>
  <si>
    <t>Срок полезного использования</t>
  </si>
  <si>
    <t xml:space="preserve">Годовая норма амортизации </t>
  </si>
  <si>
    <t>Годовая сумма амортизационных отчислений</t>
  </si>
  <si>
    <t>Дата принятия объекта основных средств к бухгалтерскому учету</t>
  </si>
  <si>
    <t>Первый месяц начисления амортизации</t>
  </si>
  <si>
    <t>Годовая сумма АО в 1-й год</t>
  </si>
  <si>
    <t>проверка</t>
  </si>
  <si>
    <t>Годовая сумма АО в последний год</t>
  </si>
  <si>
    <t>Годовая сумма АО</t>
  </si>
  <si>
    <t>через функцию АПЛ()</t>
  </si>
  <si>
    <t>Коэффициент ускорения</t>
  </si>
  <si>
    <t>Год</t>
  </si>
  <si>
    <t>Остаточная стоимость на начало отчетного года</t>
  </si>
  <si>
    <t>Остаточная стоимость на конец отчетного года</t>
  </si>
  <si>
    <t>месяцев</t>
  </si>
  <si>
    <t>Норма амортизации в месяц</t>
  </si>
  <si>
    <t>Месяц</t>
  </si>
  <si>
    <t>Для графика</t>
  </si>
  <si>
    <t>Начисление амортизации способом уменьшающегося остатка</t>
  </si>
  <si>
    <t>Начисление амортизации за месяц Способом уменьшаемого остатка</t>
  </si>
  <si>
    <t>Годовая сумма АО через ДДОБ()</t>
  </si>
  <si>
    <t xml:space="preserve">Пример1.1. Линейный способ - принятие объекта к бух. учету в начале отчетного года </t>
  </si>
  <si>
    <t xml:space="preserve">Пример1.2. Линейный способ - принятие объекта к бух. учету в течение отчетного года </t>
  </si>
  <si>
    <t>Пример1.3. Линейный способ - нецелое количество лет полезного использования</t>
  </si>
  <si>
    <t xml:space="preserve">Пример2.1. Способ уменьшаемого остатка - принятие объекта к бух. учету в начале отчетного года </t>
  </si>
  <si>
    <t>Первоначальная стоимость</t>
  </si>
  <si>
    <t>Последний месяц начисления амортизации</t>
  </si>
  <si>
    <t>Норма амортизации</t>
  </si>
  <si>
    <t>в месяц</t>
  </si>
  <si>
    <t>Сумма амортизации за месяц</t>
  </si>
  <si>
    <t>Дата</t>
  </si>
  <si>
    <t>Остаточная стоимость на конец месяца</t>
  </si>
  <si>
    <t>Остаточная стоимость на начало месяца</t>
  </si>
  <si>
    <t>через норму</t>
  </si>
  <si>
    <t>через АПЛ()</t>
  </si>
  <si>
    <t>Накопленный износ</t>
  </si>
  <si>
    <t>Годовая сумма амортизации</t>
  </si>
  <si>
    <t>Количество полных лет начисления амортизации</t>
  </si>
  <si>
    <t xml:space="preserve">По истечении срока полезного использования имущество не самортизировано до полного погашения стоимости </t>
  </si>
  <si>
    <t>Пример 1.4. Линейный способ начисления амортизации</t>
  </si>
  <si>
    <t>Суммарный начисленный износ</t>
  </si>
  <si>
    <t>Годовая сумма АО, руб.</t>
  </si>
  <si>
    <t>Ежемесячная сумма АО в течение года, руб.</t>
  </si>
  <si>
    <t>Начисление амортизации за месяц</t>
  </si>
  <si>
    <t>Сумма чисел лет</t>
  </si>
  <si>
    <t>Годовая сумма АО через ДДОБ(), руб.</t>
  </si>
  <si>
    <t>Годовая сумма АО через АСЧ(), руб.</t>
  </si>
  <si>
    <t>Начисление амортизации Нелинейным методом (см. 259 НК РФ)</t>
  </si>
  <si>
    <t>через функцию ПУО()</t>
  </si>
  <si>
    <t>Годовая сумма АО через ПУО(), руб.</t>
  </si>
  <si>
    <t>Функция ПУО()</t>
  </si>
  <si>
    <t>Итого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</si>
  <si>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</si>
  <si>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</si>
  <si>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</si>
  <si>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</si>
  <si>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</si>
  <si>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Расчет амортизации в MS EXCEL</t>
  </si>
  <si>
    <t>Суммарный баланс амортизационной группы на конец месяца</t>
  </si>
  <si>
    <t>Сумма начисленной амортизации по амортизационной группе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</si>
  <si>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</si>
  <si>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</si>
  <si>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</si>
  <si>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</si>
  <si>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</si>
  <si>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</si>
  <si>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</si>
  <si>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</si>
  <si>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</si>
  <si>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</si>
  <si>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</si>
  <si>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</si>
  <si>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 в эксплуатацию</t>
  </si>
  <si>
    <t>Подогнанный срок амортизации</t>
  </si>
  <si>
    <t>Через ДДОБ()</t>
  </si>
  <si>
    <t>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</si>
</sst>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&quot;р.&quot;;[Red]\-#,##0.00&quot;р.&quot;"/>
    <numFmt numFmtId="164" formatCode="_(&quot;$&quot;* #,##0.00_);_(&quot;$&quot;* \(#,##0.00\);_(&quot;$&quot;* &quot;-&quot;??_);_(@_)"/>
    <numFmt numFmtId="165" formatCode="[$-419]mmmm\ yyyy;@"/>
    <numFmt numFmtId="167" formatCode="0.00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6" fillId="0" borderId="0"/>
    <xf numFmtId="0" fontId="27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left" indent="1"/>
    </xf>
    <xf numFmtId="0" fontId="9" fillId="0" borderId="0" xfId="1"/>
    <xf numFmtId="0" fontId="13" fillId="0" borderId="0" xfId="0" applyFont="1" applyAlignment="1"/>
    <xf numFmtId="0" fontId="14" fillId="0" borderId="0" xfId="0" applyFont="1" applyFill="1" applyBorder="1" applyAlignment="1"/>
    <xf numFmtId="0" fontId="15" fillId="0" borderId="0" xfId="2" applyFont="1" applyAlignment="1" applyProtection="1"/>
    <xf numFmtId="0" fontId="8" fillId="0" borderId="0" xfId="0" applyFont="1" applyAlignment="1">
      <alignment horizontal="left"/>
    </xf>
    <xf numFmtId="0" fontId="8" fillId="0" borderId="1" xfId="0" applyFont="1" applyBorder="1"/>
    <xf numFmtId="0" fontId="0" fillId="0" borderId="1" xfId="0" applyBorder="1"/>
    <xf numFmtId="4" fontId="16" fillId="0" borderId="1" xfId="0" applyNumberFormat="1" applyFont="1" applyBorder="1"/>
    <xf numFmtId="0" fontId="17" fillId="0" borderId="1" xfId="0" applyFont="1" applyBorder="1"/>
    <xf numFmtId="0" fontId="5" fillId="0" borderId="0" xfId="7"/>
    <xf numFmtId="10" fontId="0" fillId="0" borderId="0" xfId="0" applyNumberFormat="1"/>
    <xf numFmtId="0" fontId="0" fillId="0" borderId="0" xfId="0" applyBorder="1"/>
    <xf numFmtId="10" fontId="16" fillId="0" borderId="0" xfId="0" applyNumberFormat="1" applyFont="1" applyBorder="1"/>
    <xf numFmtId="0" fontId="5" fillId="0" borderId="1" xfId="7" applyBorder="1"/>
    <xf numFmtId="0" fontId="8" fillId="0" borderId="1" xfId="7" applyFont="1" applyBorder="1" applyAlignment="1">
      <alignment vertical="top"/>
    </xf>
    <xf numFmtId="0" fontId="8" fillId="0" borderId="1" xfId="7" applyFont="1" applyBorder="1" applyAlignment="1">
      <alignment vertical="top" wrapText="1"/>
    </xf>
    <xf numFmtId="0" fontId="8" fillId="0" borderId="0" xfId="0" applyFont="1" applyFill="1" applyBorder="1"/>
    <xf numFmtId="0" fontId="4" fillId="0" borderId="0" xfId="7" applyFont="1"/>
    <xf numFmtId="0" fontId="8" fillId="0" borderId="1" xfId="7" applyFont="1" applyBorder="1"/>
    <xf numFmtId="4" fontId="5" fillId="0" borderId="1" xfId="7" applyNumberFormat="1" applyBorder="1"/>
    <xf numFmtId="4" fontId="5" fillId="0" borderId="0" xfId="7" applyNumberFormat="1"/>
    <xf numFmtId="4" fontId="8" fillId="0" borderId="1" xfId="7" applyNumberFormat="1" applyFont="1" applyBorder="1"/>
    <xf numFmtId="0" fontId="4" fillId="0" borderId="0" xfId="7" applyFont="1" applyAlignment="1"/>
    <xf numFmtId="4" fontId="8" fillId="0" borderId="0" xfId="7" applyNumberFormat="1" applyFont="1" applyBorder="1"/>
    <xf numFmtId="4" fontId="5" fillId="2" borderId="1" xfId="7" applyNumberFormat="1" applyFill="1" applyBorder="1"/>
    <xf numFmtId="0" fontId="3" fillId="0" borderId="0" xfId="0" applyFont="1" applyAlignment="1">
      <alignment horizontal="left"/>
    </xf>
    <xf numFmtId="0" fontId="8" fillId="0" borderId="0" xfId="0" applyFont="1"/>
    <xf numFmtId="0" fontId="22" fillId="0" borderId="0" xfId="0" applyFont="1"/>
    <xf numFmtId="0" fontId="16" fillId="0" borderId="1" xfId="0" applyFont="1" applyBorder="1"/>
    <xf numFmtId="9" fontId="17" fillId="0" borderId="1" xfId="9" applyFont="1" applyBorder="1"/>
    <xf numFmtId="0" fontId="0" fillId="3" borderId="1" xfId="0" applyFill="1" applyBorder="1"/>
    <xf numFmtId="4" fontId="18" fillId="3" borderId="1" xfId="0" applyNumberFormat="1" applyFont="1" applyFill="1" applyBorder="1"/>
    <xf numFmtId="0" fontId="21" fillId="0" borderId="0" xfId="0" applyFont="1" applyBorder="1"/>
    <xf numFmtId="0" fontId="8" fillId="3" borderId="1" xfId="0" applyFont="1" applyFill="1" applyBorder="1" applyAlignment="1">
      <alignment horizontal="left"/>
    </xf>
    <xf numFmtId="14" fontId="16" fillId="0" borderId="1" xfId="0" applyNumberFormat="1" applyFont="1" applyBorder="1"/>
    <xf numFmtId="0" fontId="0" fillId="0" borderId="1" xfId="0" applyBorder="1" applyAlignment="1">
      <alignment wrapText="1"/>
    </xf>
    <xf numFmtId="165" fontId="17" fillId="0" borderId="1" xfId="0" applyNumberFormat="1" applyFont="1" applyBorder="1"/>
    <xf numFmtId="0" fontId="0" fillId="0" borderId="1" xfId="0" applyBorder="1" applyAlignment="1">
      <alignment horizontal="right"/>
    </xf>
    <xf numFmtId="0" fontId="8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vertical="top" wrapText="1"/>
    </xf>
    <xf numFmtId="4" fontId="0" fillId="0" borderId="0" xfId="0" applyNumberFormat="1"/>
    <xf numFmtId="4" fontId="14" fillId="0" borderId="1" xfId="0" applyNumberFormat="1" applyFont="1" applyFill="1" applyBorder="1"/>
    <xf numFmtId="4" fontId="0" fillId="0" borderId="1" xfId="0" applyNumberFormat="1" applyBorder="1"/>
    <xf numFmtId="0" fontId="0" fillId="0" borderId="0" xfId="0" applyBorder="1" applyAlignment="1">
      <alignment horizontal="right"/>
    </xf>
    <xf numFmtId="4" fontId="0" fillId="4" borderId="1" xfId="0" applyNumberFormat="1" applyFill="1" applyBorder="1"/>
    <xf numFmtId="0" fontId="8" fillId="3" borderId="1" xfId="0" applyFont="1" applyFill="1" applyBorder="1" applyAlignment="1">
      <alignment horizontal="left" vertical="top" wrapText="1"/>
    </xf>
    <xf numFmtId="9" fontId="17" fillId="0" borderId="0" xfId="9" applyFont="1" applyBorder="1"/>
    <xf numFmtId="0" fontId="23" fillId="0" borderId="0" xfId="0" applyFont="1" applyFill="1" applyBorder="1"/>
    <xf numFmtId="8" fontId="8" fillId="0" borderId="1" xfId="0" applyNumberFormat="1" applyFont="1" applyBorder="1"/>
    <xf numFmtId="10" fontId="17" fillId="0" borderId="1" xfId="9" applyNumberFormat="1" applyFont="1" applyBorder="1"/>
    <xf numFmtId="0" fontId="8" fillId="0" borderId="1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4" fontId="8" fillId="0" borderId="1" xfId="0" applyNumberFormat="1" applyFont="1" applyBorder="1"/>
    <xf numFmtId="4" fontId="0" fillId="2" borderId="1" xfId="0" applyNumberFormat="1" applyFill="1" applyBorder="1"/>
    <xf numFmtId="0" fontId="8" fillId="3" borderId="2" xfId="0" applyFont="1" applyFill="1" applyBorder="1" applyAlignment="1">
      <alignment vertical="top" wrapText="1"/>
    </xf>
    <xf numFmtId="4" fontId="0" fillId="0" borderId="2" xfId="0" applyNumberFormat="1" applyBorder="1"/>
    <xf numFmtId="8" fontId="0" fillId="0" borderId="1" xfId="0" applyNumberFormat="1" applyBorder="1"/>
    <xf numFmtId="0" fontId="2" fillId="0" borderId="0" xfId="7" applyFont="1"/>
    <xf numFmtId="10" fontId="0" fillId="0" borderId="1" xfId="9" applyNumberFormat="1" applyFont="1" applyBorder="1"/>
    <xf numFmtId="165" fontId="5" fillId="0" borderId="1" xfId="7" applyNumberFormat="1" applyBorder="1"/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1" fillId="0" borderId="0" xfId="7" applyFont="1"/>
    <xf numFmtId="0" fontId="0" fillId="0" borderId="0" xfId="0" applyBorder="1" applyAlignment="1">
      <alignment wrapText="1"/>
    </xf>
    <xf numFmtId="4" fontId="18" fillId="0" borderId="1" xfId="0" applyNumberFormat="1" applyFont="1" applyBorder="1"/>
    <xf numFmtId="1" fontId="0" fillId="0" borderId="1" xfId="0" applyNumberFormat="1" applyBorder="1"/>
    <xf numFmtId="0" fontId="0" fillId="0" borderId="1" xfId="0" applyFill="1" applyBorder="1"/>
    <xf numFmtId="0" fontId="0" fillId="0" borderId="0" xfId="0" applyFill="1" applyBorder="1"/>
    <xf numFmtId="0" fontId="8" fillId="0" borderId="1" xfId="0" applyFont="1" applyBorder="1" applyAlignment="1">
      <alignment wrapText="1"/>
    </xf>
    <xf numFmtId="8" fontId="0" fillId="0" borderId="0" xfId="0" applyNumberFormat="1"/>
    <xf numFmtId="0" fontId="25" fillId="6" borderId="0" xfId="1" applyFont="1" applyFill="1" applyAlignment="1">
      <alignment vertical="center" wrapText="1"/>
    </xf>
    <xf numFmtId="0" fontId="24" fillId="5" borderId="0" xfId="4" applyFont="1" applyFill="1" applyAlignment="1" applyProtection="1">
      <alignment vertical="center"/>
    </xf>
    <xf numFmtId="0" fontId="28" fillId="7" borderId="0" xfId="0" applyFont="1" applyFill="1" applyAlignment="1"/>
    <xf numFmtId="0" fontId="29" fillId="7" borderId="0" xfId="0" applyFont="1" applyFill="1" applyAlignment="1">
      <alignment vertical="center"/>
    </xf>
    <xf numFmtId="0" fontId="27" fillId="7" borderId="0" xfId="11" applyFill="1" applyAlignment="1" applyProtection="1"/>
    <xf numFmtId="0" fontId="24" fillId="5" borderId="0" xfId="4" applyFont="1" applyFill="1" applyAlignment="1" applyProtection="1">
      <alignment horizontal="center" vertical="center"/>
    </xf>
    <xf numFmtId="10" fontId="0" fillId="0" borderId="0" xfId="9" applyNumberFormat="1" applyFont="1"/>
    <xf numFmtId="167" fontId="0" fillId="0" borderId="0" xfId="9" applyNumberFormat="1" applyFont="1"/>
    <xf numFmtId="10" fontId="16" fillId="0" borderId="1" xfId="9" applyNumberFormat="1" applyFont="1" applyBorder="1"/>
    <xf numFmtId="3" fontId="0" fillId="0" borderId="1" xfId="0" applyNumberFormat="1" applyBorder="1"/>
    <xf numFmtId="4" fontId="8" fillId="0" borderId="1" xfId="0" applyNumberFormat="1" applyFont="1" applyBorder="1" applyAlignment="1">
      <alignment vertical="top" wrapText="1"/>
    </xf>
  </cellXfs>
  <cellStyles count="12">
    <cellStyle name="Currency_TapePivot" xfId="3"/>
    <cellStyle name="Normal_ALLOC1" xfId="10"/>
    <cellStyle name="Гиперссылка" xfId="11" builtinId="8"/>
    <cellStyle name="Гиперссылка 2" xfId="2"/>
    <cellStyle name="Гиперссылка 3" xfId="4"/>
    <cellStyle name="Обычный" xfId="0" builtinId="0"/>
    <cellStyle name="Обычный 2" xfId="1"/>
    <cellStyle name="Обычный 3" xfId="5"/>
    <cellStyle name="Обычный 4" xfId="6"/>
    <cellStyle name="Обычный 5" xfId="7"/>
    <cellStyle name="Процентный" xfId="9" builtinId="5"/>
    <cellStyle name="Процентный 2" xfId="8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Линейный!$A$4</c:f>
          <c:strCache>
            <c:ptCount val="1"/>
            <c:pt idx="0">
              <c:v>Пример 1.4. Линейный способ начисления амортизации</c:v>
            </c:pt>
          </c:strCache>
        </c:strRef>
      </c:tx>
      <c:layout>
        <c:manualLayout>
          <c:xMode val="edge"/>
          <c:yMode val="edge"/>
          <c:x val="0.32222375711807955"/>
          <c:y val="5.8342984947729569E-2"/>
        </c:manualLayout>
      </c:layout>
      <c:overlay val="1"/>
      <c:txPr>
        <a:bodyPr/>
        <a:lstStyle/>
        <a:p>
          <a:pPr>
            <a:defRPr sz="1600" b="0"/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Линейный!$J$17</c:f>
              <c:strCache>
                <c:ptCount val="1"/>
                <c:pt idx="0">
                  <c:v>Остаточная стоимость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Линейный!$I$18:$I$70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12</c:v>
                </c:pt>
                <c:pt idx="22">
                  <c:v>12</c:v>
                </c:pt>
                <c:pt idx="23">
                  <c:v>13</c:v>
                </c:pt>
                <c:pt idx="24">
                  <c:v>13</c:v>
                </c:pt>
                <c:pt idx="25">
                  <c:v>14</c:v>
                </c:pt>
                <c:pt idx="26">
                  <c:v>14</c:v>
                </c:pt>
                <c:pt idx="27">
                  <c:v>15</c:v>
                </c:pt>
                <c:pt idx="28">
                  <c:v>15</c:v>
                </c:pt>
                <c:pt idx="29">
                  <c:v>16</c:v>
                </c:pt>
                <c:pt idx="30">
                  <c:v>16</c:v>
                </c:pt>
                <c:pt idx="31">
                  <c:v>17</c:v>
                </c:pt>
                <c:pt idx="32">
                  <c:v>17</c:v>
                </c:pt>
                <c:pt idx="33">
                  <c:v>18</c:v>
                </c:pt>
                <c:pt idx="34">
                  <c:v>18</c:v>
                </c:pt>
                <c:pt idx="35">
                  <c:v>19</c:v>
                </c:pt>
                <c:pt idx="36">
                  <c:v>19</c:v>
                </c:pt>
                <c:pt idx="37">
                  <c:v>20</c:v>
                </c:pt>
                <c:pt idx="38">
                  <c:v>20</c:v>
                </c:pt>
                <c:pt idx="39">
                  <c:v>21</c:v>
                </c:pt>
                <c:pt idx="40">
                  <c:v>21</c:v>
                </c:pt>
                <c:pt idx="41">
                  <c:v>22</c:v>
                </c:pt>
                <c:pt idx="42">
                  <c:v>22</c:v>
                </c:pt>
                <c:pt idx="43">
                  <c:v>23</c:v>
                </c:pt>
                <c:pt idx="44">
                  <c:v>23</c:v>
                </c:pt>
                <c:pt idx="45">
                  <c:v>24</c:v>
                </c:pt>
                <c:pt idx="46">
                  <c:v>24</c:v>
                </c:pt>
                <c:pt idx="47">
                  <c:v>25</c:v>
                </c:pt>
                <c:pt idx="48">
                  <c:v>25</c:v>
                </c:pt>
                <c:pt idx="49">
                  <c:v>26</c:v>
                </c:pt>
                <c:pt idx="50">
                  <c:v>26</c:v>
                </c:pt>
                <c:pt idx="51">
                  <c:v>27</c:v>
                </c:pt>
                <c:pt idx="52">
                  <c:v>27</c:v>
                </c:pt>
              </c:numCache>
            </c:numRef>
          </c:xVal>
          <c:yVal>
            <c:numRef>
              <c:f>Линейный!$J$18:$J$70</c:f>
              <c:numCache>
                <c:formatCode>#,##0.00</c:formatCode>
                <c:ptCount val="53"/>
                <c:pt idx="0">
                  <c:v>375555.55555555556</c:v>
                </c:pt>
                <c:pt idx="1">
                  <c:v>375555.55555555556</c:v>
                </c:pt>
                <c:pt idx="2">
                  <c:v>361111.11111111112</c:v>
                </c:pt>
                <c:pt idx="3">
                  <c:v>361111.11111111112</c:v>
                </c:pt>
                <c:pt idx="4">
                  <c:v>346666.66666666669</c:v>
                </c:pt>
                <c:pt idx="5">
                  <c:v>346666.66666666669</c:v>
                </c:pt>
                <c:pt idx="6">
                  <c:v>332222.22222222225</c:v>
                </c:pt>
                <c:pt idx="7">
                  <c:v>332222.22222222225</c:v>
                </c:pt>
                <c:pt idx="8">
                  <c:v>317777.77777777781</c:v>
                </c:pt>
                <c:pt idx="9">
                  <c:v>317777.77777777781</c:v>
                </c:pt>
                <c:pt idx="10">
                  <c:v>303333.33333333337</c:v>
                </c:pt>
                <c:pt idx="11">
                  <c:v>303333.33333333337</c:v>
                </c:pt>
                <c:pt idx="12">
                  <c:v>288888.88888888893</c:v>
                </c:pt>
                <c:pt idx="13">
                  <c:v>288888.88888888893</c:v>
                </c:pt>
                <c:pt idx="14">
                  <c:v>274444.4444444445</c:v>
                </c:pt>
                <c:pt idx="15">
                  <c:v>274444.4444444445</c:v>
                </c:pt>
                <c:pt idx="16">
                  <c:v>260000.00000000006</c:v>
                </c:pt>
                <c:pt idx="17">
                  <c:v>260000.00000000006</c:v>
                </c:pt>
                <c:pt idx="18">
                  <c:v>245555.55555555562</c:v>
                </c:pt>
                <c:pt idx="19">
                  <c:v>245555.55555555562</c:v>
                </c:pt>
                <c:pt idx="20">
                  <c:v>231111.11111111118</c:v>
                </c:pt>
                <c:pt idx="21">
                  <c:v>231111.11111111118</c:v>
                </c:pt>
                <c:pt idx="22">
                  <c:v>216666.66666666674</c:v>
                </c:pt>
                <c:pt idx="23">
                  <c:v>216666.66666666674</c:v>
                </c:pt>
                <c:pt idx="24">
                  <c:v>202222.22222222231</c:v>
                </c:pt>
                <c:pt idx="25">
                  <c:v>202222.22222222231</c:v>
                </c:pt>
                <c:pt idx="26">
                  <c:v>187777.77777777787</c:v>
                </c:pt>
                <c:pt idx="27">
                  <c:v>187777.77777777787</c:v>
                </c:pt>
                <c:pt idx="28">
                  <c:v>173333.33333333343</c:v>
                </c:pt>
                <c:pt idx="29">
                  <c:v>173333.33333333343</c:v>
                </c:pt>
                <c:pt idx="30">
                  <c:v>158888.88888888899</c:v>
                </c:pt>
                <c:pt idx="31">
                  <c:v>158888.88888888899</c:v>
                </c:pt>
                <c:pt idx="32">
                  <c:v>144444.44444444455</c:v>
                </c:pt>
                <c:pt idx="33">
                  <c:v>144444.44444444455</c:v>
                </c:pt>
                <c:pt idx="34">
                  <c:v>130000.00000000012</c:v>
                </c:pt>
                <c:pt idx="35">
                  <c:v>130000.00000000012</c:v>
                </c:pt>
                <c:pt idx="36">
                  <c:v>115555.55555555568</c:v>
                </c:pt>
                <c:pt idx="37">
                  <c:v>115555.55555555568</c:v>
                </c:pt>
                <c:pt idx="38">
                  <c:v>101111.11111111124</c:v>
                </c:pt>
                <c:pt idx="39">
                  <c:v>101111.11111111124</c:v>
                </c:pt>
                <c:pt idx="40">
                  <c:v>86666.666666666802</c:v>
                </c:pt>
                <c:pt idx="41">
                  <c:v>86666.666666666802</c:v>
                </c:pt>
                <c:pt idx="42">
                  <c:v>72222.222222222365</c:v>
                </c:pt>
                <c:pt idx="43">
                  <c:v>72222.222222222365</c:v>
                </c:pt>
                <c:pt idx="44">
                  <c:v>57777.777777777919</c:v>
                </c:pt>
                <c:pt idx="45">
                  <c:v>57777.777777777919</c:v>
                </c:pt>
                <c:pt idx="46">
                  <c:v>43333.333333333474</c:v>
                </c:pt>
                <c:pt idx="47">
                  <c:v>43333.333333333474</c:v>
                </c:pt>
                <c:pt idx="48">
                  <c:v>28888.888888889029</c:v>
                </c:pt>
                <c:pt idx="49">
                  <c:v>28888.888888889029</c:v>
                </c:pt>
                <c:pt idx="50">
                  <c:v>14444.444444444585</c:v>
                </c:pt>
                <c:pt idx="51">
                  <c:v>14444.444444444585</c:v>
                </c:pt>
                <c:pt idx="52">
                  <c:v>1.4188117347657681E-10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83424"/>
        <c:axId val="140448512"/>
      </c:scatterChart>
      <c:valAx>
        <c:axId val="39783424"/>
        <c:scaling>
          <c:orientation val="minMax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crossAx val="140448512"/>
        <c:crosses val="autoZero"/>
        <c:crossBetween val="midCat"/>
        <c:majorUnit val="1"/>
      </c:valAx>
      <c:valAx>
        <c:axId val="1404485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3978342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594550710939727"/>
          <c:y val="5.68011958146487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234511979374927E-2"/>
          <c:y val="2.1158621988394941E-2"/>
          <c:w val="0.88649812166315256"/>
          <c:h val="0.831951790779515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'Уменьшаемый остаток'!$G$19</c:f>
              <c:strCache>
                <c:ptCount val="1"/>
                <c:pt idx="0">
                  <c:v>Остаточная стоимость на конец месяца</c:v>
                </c:pt>
              </c:strCache>
            </c:strRef>
          </c:tx>
          <c:spPr>
            <a:ln w="12700"/>
          </c:spPr>
          <c:marker>
            <c:symbol val="none"/>
          </c:marker>
          <c:dPt>
            <c:idx val="119"/>
            <c:marker>
              <c:symbol val="circle"/>
              <c:size val="5"/>
            </c:marker>
            <c:bubble3D val="0"/>
          </c:dPt>
          <c:dLbls>
            <c:dLbl>
              <c:idx val="119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'Уменьшаемый остаток'!$F$20:$F$139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12</c:v>
                </c:pt>
                <c:pt idx="22">
                  <c:v>12</c:v>
                </c:pt>
                <c:pt idx="23">
                  <c:v>13</c:v>
                </c:pt>
                <c:pt idx="24">
                  <c:v>13</c:v>
                </c:pt>
                <c:pt idx="25">
                  <c:v>14</c:v>
                </c:pt>
                <c:pt idx="26">
                  <c:v>14</c:v>
                </c:pt>
                <c:pt idx="27">
                  <c:v>15</c:v>
                </c:pt>
                <c:pt idx="28">
                  <c:v>15</c:v>
                </c:pt>
                <c:pt idx="29">
                  <c:v>16</c:v>
                </c:pt>
                <c:pt idx="30">
                  <c:v>16</c:v>
                </c:pt>
                <c:pt idx="31">
                  <c:v>17</c:v>
                </c:pt>
                <c:pt idx="32">
                  <c:v>17</c:v>
                </c:pt>
                <c:pt idx="33">
                  <c:v>18</c:v>
                </c:pt>
                <c:pt idx="34">
                  <c:v>18</c:v>
                </c:pt>
                <c:pt idx="35">
                  <c:v>19</c:v>
                </c:pt>
                <c:pt idx="36">
                  <c:v>19</c:v>
                </c:pt>
                <c:pt idx="37">
                  <c:v>20</c:v>
                </c:pt>
                <c:pt idx="38">
                  <c:v>20</c:v>
                </c:pt>
                <c:pt idx="39">
                  <c:v>21</c:v>
                </c:pt>
                <c:pt idx="40">
                  <c:v>21</c:v>
                </c:pt>
                <c:pt idx="41">
                  <c:v>22</c:v>
                </c:pt>
                <c:pt idx="42">
                  <c:v>22</c:v>
                </c:pt>
                <c:pt idx="43">
                  <c:v>23</c:v>
                </c:pt>
                <c:pt idx="44">
                  <c:v>23</c:v>
                </c:pt>
                <c:pt idx="45">
                  <c:v>24</c:v>
                </c:pt>
                <c:pt idx="46">
                  <c:v>24</c:v>
                </c:pt>
                <c:pt idx="47">
                  <c:v>25</c:v>
                </c:pt>
                <c:pt idx="48">
                  <c:v>25</c:v>
                </c:pt>
                <c:pt idx="49">
                  <c:v>26</c:v>
                </c:pt>
                <c:pt idx="50">
                  <c:v>26</c:v>
                </c:pt>
                <c:pt idx="51">
                  <c:v>27</c:v>
                </c:pt>
                <c:pt idx="52">
                  <c:v>27</c:v>
                </c:pt>
                <c:pt idx="53">
                  <c:v>28</c:v>
                </c:pt>
                <c:pt idx="54">
                  <c:v>28</c:v>
                </c:pt>
                <c:pt idx="55">
                  <c:v>29</c:v>
                </c:pt>
                <c:pt idx="56">
                  <c:v>29</c:v>
                </c:pt>
                <c:pt idx="57">
                  <c:v>30</c:v>
                </c:pt>
                <c:pt idx="58">
                  <c:v>30</c:v>
                </c:pt>
                <c:pt idx="59">
                  <c:v>31</c:v>
                </c:pt>
                <c:pt idx="60">
                  <c:v>31</c:v>
                </c:pt>
                <c:pt idx="61">
                  <c:v>32</c:v>
                </c:pt>
                <c:pt idx="62">
                  <c:v>32</c:v>
                </c:pt>
                <c:pt idx="63">
                  <c:v>33</c:v>
                </c:pt>
                <c:pt idx="64">
                  <c:v>33</c:v>
                </c:pt>
                <c:pt idx="65">
                  <c:v>34</c:v>
                </c:pt>
                <c:pt idx="66">
                  <c:v>34</c:v>
                </c:pt>
                <c:pt idx="67">
                  <c:v>35</c:v>
                </c:pt>
                <c:pt idx="68">
                  <c:v>35</c:v>
                </c:pt>
                <c:pt idx="69">
                  <c:v>36</c:v>
                </c:pt>
                <c:pt idx="70">
                  <c:v>36</c:v>
                </c:pt>
                <c:pt idx="71">
                  <c:v>37</c:v>
                </c:pt>
                <c:pt idx="72">
                  <c:v>37</c:v>
                </c:pt>
                <c:pt idx="73">
                  <c:v>38</c:v>
                </c:pt>
                <c:pt idx="74">
                  <c:v>38</c:v>
                </c:pt>
                <c:pt idx="75">
                  <c:v>39</c:v>
                </c:pt>
                <c:pt idx="76">
                  <c:v>39</c:v>
                </c:pt>
                <c:pt idx="77">
                  <c:v>40</c:v>
                </c:pt>
                <c:pt idx="78">
                  <c:v>40</c:v>
                </c:pt>
                <c:pt idx="79">
                  <c:v>41</c:v>
                </c:pt>
                <c:pt idx="80">
                  <c:v>41</c:v>
                </c:pt>
                <c:pt idx="81">
                  <c:v>42</c:v>
                </c:pt>
                <c:pt idx="82">
                  <c:v>42</c:v>
                </c:pt>
                <c:pt idx="83">
                  <c:v>43</c:v>
                </c:pt>
                <c:pt idx="84">
                  <c:v>43</c:v>
                </c:pt>
                <c:pt idx="85">
                  <c:v>44</c:v>
                </c:pt>
                <c:pt idx="86">
                  <c:v>44</c:v>
                </c:pt>
                <c:pt idx="87">
                  <c:v>45</c:v>
                </c:pt>
                <c:pt idx="88">
                  <c:v>45</c:v>
                </c:pt>
                <c:pt idx="89">
                  <c:v>46</c:v>
                </c:pt>
                <c:pt idx="90">
                  <c:v>46</c:v>
                </c:pt>
                <c:pt idx="91">
                  <c:v>47</c:v>
                </c:pt>
                <c:pt idx="92">
                  <c:v>47</c:v>
                </c:pt>
                <c:pt idx="93">
                  <c:v>48</c:v>
                </c:pt>
                <c:pt idx="94">
                  <c:v>48</c:v>
                </c:pt>
                <c:pt idx="95">
                  <c:v>49</c:v>
                </c:pt>
                <c:pt idx="96">
                  <c:v>49</c:v>
                </c:pt>
                <c:pt idx="97">
                  <c:v>50</c:v>
                </c:pt>
                <c:pt idx="98">
                  <c:v>50</c:v>
                </c:pt>
                <c:pt idx="99">
                  <c:v>51</c:v>
                </c:pt>
                <c:pt idx="100">
                  <c:v>51</c:v>
                </c:pt>
                <c:pt idx="101">
                  <c:v>52</c:v>
                </c:pt>
                <c:pt idx="102">
                  <c:v>52</c:v>
                </c:pt>
                <c:pt idx="103">
                  <c:v>53</c:v>
                </c:pt>
                <c:pt idx="104">
                  <c:v>53</c:v>
                </c:pt>
                <c:pt idx="105">
                  <c:v>54</c:v>
                </c:pt>
                <c:pt idx="106">
                  <c:v>54</c:v>
                </c:pt>
                <c:pt idx="107">
                  <c:v>55</c:v>
                </c:pt>
                <c:pt idx="108">
                  <c:v>55</c:v>
                </c:pt>
                <c:pt idx="109">
                  <c:v>56</c:v>
                </c:pt>
                <c:pt idx="110">
                  <c:v>56</c:v>
                </c:pt>
                <c:pt idx="111">
                  <c:v>57</c:v>
                </c:pt>
                <c:pt idx="112">
                  <c:v>57</c:v>
                </c:pt>
                <c:pt idx="113">
                  <c:v>58</c:v>
                </c:pt>
                <c:pt idx="114">
                  <c:v>58</c:v>
                </c:pt>
                <c:pt idx="115">
                  <c:v>59</c:v>
                </c:pt>
                <c:pt idx="116">
                  <c:v>59</c:v>
                </c:pt>
                <c:pt idx="117">
                  <c:v>60</c:v>
                </c:pt>
                <c:pt idx="118">
                  <c:v>60</c:v>
                </c:pt>
                <c:pt idx="119">
                  <c:v>61</c:v>
                </c:pt>
              </c:numCache>
            </c:numRef>
          </c:xVal>
          <c:yVal>
            <c:numRef>
              <c:f>'Уменьшаемый остаток'!$G$20:$G$139</c:f>
              <c:numCache>
                <c:formatCode>#,##0.00</c:formatCode>
                <c:ptCount val="120"/>
                <c:pt idx="0">
                  <c:v>96666.666666666672</c:v>
                </c:pt>
                <c:pt idx="1">
                  <c:v>96666.666666666672</c:v>
                </c:pt>
                <c:pt idx="2">
                  <c:v>93333.333333333343</c:v>
                </c:pt>
                <c:pt idx="3">
                  <c:v>93333.333333333343</c:v>
                </c:pt>
                <c:pt idx="4">
                  <c:v>90000.000000000015</c:v>
                </c:pt>
                <c:pt idx="5">
                  <c:v>90000.000000000015</c:v>
                </c:pt>
                <c:pt idx="6">
                  <c:v>86666.666666666686</c:v>
                </c:pt>
                <c:pt idx="7">
                  <c:v>86666.666666666686</c:v>
                </c:pt>
                <c:pt idx="8">
                  <c:v>83333.333333333358</c:v>
                </c:pt>
                <c:pt idx="9">
                  <c:v>83333.333333333358</c:v>
                </c:pt>
                <c:pt idx="10">
                  <c:v>80000.000000000029</c:v>
                </c:pt>
                <c:pt idx="11">
                  <c:v>80000.000000000029</c:v>
                </c:pt>
                <c:pt idx="12">
                  <c:v>76666.666666666701</c:v>
                </c:pt>
                <c:pt idx="13">
                  <c:v>76666.666666666701</c:v>
                </c:pt>
                <c:pt idx="14">
                  <c:v>73333.333333333372</c:v>
                </c:pt>
                <c:pt idx="15">
                  <c:v>73333.333333333372</c:v>
                </c:pt>
                <c:pt idx="16">
                  <c:v>70000.000000000044</c:v>
                </c:pt>
                <c:pt idx="17">
                  <c:v>70000.000000000044</c:v>
                </c:pt>
                <c:pt idx="18">
                  <c:v>66666.666666666715</c:v>
                </c:pt>
                <c:pt idx="19">
                  <c:v>66666.666666666715</c:v>
                </c:pt>
                <c:pt idx="20">
                  <c:v>63333.333333333379</c:v>
                </c:pt>
                <c:pt idx="21">
                  <c:v>63333.333333333379</c:v>
                </c:pt>
                <c:pt idx="22">
                  <c:v>60000.000000000044</c:v>
                </c:pt>
                <c:pt idx="23">
                  <c:v>60000.000000000044</c:v>
                </c:pt>
                <c:pt idx="24">
                  <c:v>58000.000000000044</c:v>
                </c:pt>
                <c:pt idx="25">
                  <c:v>58000.000000000044</c:v>
                </c:pt>
                <c:pt idx="26">
                  <c:v>56000.000000000044</c:v>
                </c:pt>
                <c:pt idx="27">
                  <c:v>56000.000000000044</c:v>
                </c:pt>
                <c:pt idx="28">
                  <c:v>54000.000000000044</c:v>
                </c:pt>
                <c:pt idx="29">
                  <c:v>54000.000000000044</c:v>
                </c:pt>
                <c:pt idx="30">
                  <c:v>52000.000000000044</c:v>
                </c:pt>
                <c:pt idx="31">
                  <c:v>52000.000000000044</c:v>
                </c:pt>
                <c:pt idx="32">
                  <c:v>50000.000000000044</c:v>
                </c:pt>
                <c:pt idx="33">
                  <c:v>50000.000000000044</c:v>
                </c:pt>
                <c:pt idx="34">
                  <c:v>48000.000000000044</c:v>
                </c:pt>
                <c:pt idx="35">
                  <c:v>48000.000000000044</c:v>
                </c:pt>
                <c:pt idx="36">
                  <c:v>46000.000000000044</c:v>
                </c:pt>
                <c:pt idx="37">
                  <c:v>46000.000000000044</c:v>
                </c:pt>
                <c:pt idx="38">
                  <c:v>44000.000000000044</c:v>
                </c:pt>
                <c:pt idx="39">
                  <c:v>44000.000000000044</c:v>
                </c:pt>
                <c:pt idx="40">
                  <c:v>42000.000000000044</c:v>
                </c:pt>
                <c:pt idx="41">
                  <c:v>42000.000000000044</c:v>
                </c:pt>
                <c:pt idx="42">
                  <c:v>40000.000000000044</c:v>
                </c:pt>
                <c:pt idx="43">
                  <c:v>40000.000000000044</c:v>
                </c:pt>
                <c:pt idx="44">
                  <c:v>38000.000000000044</c:v>
                </c:pt>
                <c:pt idx="45">
                  <c:v>38000.000000000044</c:v>
                </c:pt>
                <c:pt idx="46">
                  <c:v>36000.000000000044</c:v>
                </c:pt>
                <c:pt idx="47">
                  <c:v>36000.000000000044</c:v>
                </c:pt>
                <c:pt idx="48">
                  <c:v>34800.000000000044</c:v>
                </c:pt>
                <c:pt idx="49">
                  <c:v>34800.000000000044</c:v>
                </c:pt>
                <c:pt idx="50">
                  <c:v>33600.000000000044</c:v>
                </c:pt>
                <c:pt idx="51">
                  <c:v>33600.000000000044</c:v>
                </c:pt>
                <c:pt idx="52">
                  <c:v>32400.000000000044</c:v>
                </c:pt>
                <c:pt idx="53">
                  <c:v>32400.000000000044</c:v>
                </c:pt>
                <c:pt idx="54">
                  <c:v>31200.000000000044</c:v>
                </c:pt>
                <c:pt idx="55">
                  <c:v>31200.000000000044</c:v>
                </c:pt>
                <c:pt idx="56">
                  <c:v>30000.000000000044</c:v>
                </c:pt>
                <c:pt idx="57">
                  <c:v>30000.000000000044</c:v>
                </c:pt>
                <c:pt idx="58">
                  <c:v>28800.000000000044</c:v>
                </c:pt>
                <c:pt idx="59">
                  <c:v>28800.000000000044</c:v>
                </c:pt>
                <c:pt idx="60">
                  <c:v>27600.000000000044</c:v>
                </c:pt>
                <c:pt idx="61">
                  <c:v>27600.000000000044</c:v>
                </c:pt>
                <c:pt idx="62">
                  <c:v>26400.000000000044</c:v>
                </c:pt>
                <c:pt idx="63">
                  <c:v>26400.000000000044</c:v>
                </c:pt>
                <c:pt idx="64">
                  <c:v>25200.000000000044</c:v>
                </c:pt>
                <c:pt idx="65">
                  <c:v>25200.000000000044</c:v>
                </c:pt>
                <c:pt idx="66">
                  <c:v>24000.000000000044</c:v>
                </c:pt>
                <c:pt idx="67">
                  <c:v>24000.000000000044</c:v>
                </c:pt>
                <c:pt idx="68">
                  <c:v>22800.000000000044</c:v>
                </c:pt>
                <c:pt idx="69">
                  <c:v>22800.000000000044</c:v>
                </c:pt>
                <c:pt idx="70">
                  <c:v>21600.000000000044</c:v>
                </c:pt>
                <c:pt idx="71">
                  <c:v>21600.000000000044</c:v>
                </c:pt>
                <c:pt idx="72">
                  <c:v>20880.000000000044</c:v>
                </c:pt>
                <c:pt idx="73">
                  <c:v>20880.000000000044</c:v>
                </c:pt>
                <c:pt idx="74">
                  <c:v>20160.000000000044</c:v>
                </c:pt>
                <c:pt idx="75">
                  <c:v>20160.000000000044</c:v>
                </c:pt>
                <c:pt idx="76">
                  <c:v>19440.000000000044</c:v>
                </c:pt>
                <c:pt idx="77">
                  <c:v>19440.000000000044</c:v>
                </c:pt>
                <c:pt idx="78">
                  <c:v>18720.000000000044</c:v>
                </c:pt>
                <c:pt idx="79">
                  <c:v>18720.000000000044</c:v>
                </c:pt>
                <c:pt idx="80">
                  <c:v>18000.000000000044</c:v>
                </c:pt>
                <c:pt idx="81">
                  <c:v>18000.000000000044</c:v>
                </c:pt>
                <c:pt idx="82">
                  <c:v>17280.000000000044</c:v>
                </c:pt>
                <c:pt idx="83">
                  <c:v>17280.000000000044</c:v>
                </c:pt>
                <c:pt idx="84">
                  <c:v>16560.000000000044</c:v>
                </c:pt>
                <c:pt idx="85">
                  <c:v>16560.000000000044</c:v>
                </c:pt>
                <c:pt idx="86">
                  <c:v>15840.000000000044</c:v>
                </c:pt>
                <c:pt idx="87">
                  <c:v>15840.000000000044</c:v>
                </c:pt>
                <c:pt idx="88">
                  <c:v>15120.000000000044</c:v>
                </c:pt>
                <c:pt idx="89">
                  <c:v>15120.000000000044</c:v>
                </c:pt>
                <c:pt idx="90">
                  <c:v>14400.000000000044</c:v>
                </c:pt>
                <c:pt idx="91">
                  <c:v>14400.000000000044</c:v>
                </c:pt>
                <c:pt idx="92">
                  <c:v>13680.000000000044</c:v>
                </c:pt>
                <c:pt idx="93">
                  <c:v>13680.000000000044</c:v>
                </c:pt>
                <c:pt idx="94">
                  <c:v>12960.000000000044</c:v>
                </c:pt>
                <c:pt idx="95">
                  <c:v>12960.000000000044</c:v>
                </c:pt>
                <c:pt idx="96">
                  <c:v>12528.000000000044</c:v>
                </c:pt>
                <c:pt idx="97">
                  <c:v>12528.000000000044</c:v>
                </c:pt>
                <c:pt idx="98">
                  <c:v>12096.000000000044</c:v>
                </c:pt>
                <c:pt idx="99">
                  <c:v>12096.000000000044</c:v>
                </c:pt>
                <c:pt idx="100">
                  <c:v>11664.000000000044</c:v>
                </c:pt>
                <c:pt idx="101">
                  <c:v>11664.000000000044</c:v>
                </c:pt>
                <c:pt idx="102">
                  <c:v>11232.000000000044</c:v>
                </c:pt>
                <c:pt idx="103">
                  <c:v>11232.000000000044</c:v>
                </c:pt>
                <c:pt idx="104">
                  <c:v>10800.000000000044</c:v>
                </c:pt>
                <c:pt idx="105">
                  <c:v>10800.000000000044</c:v>
                </c:pt>
                <c:pt idx="106">
                  <c:v>10368.000000000044</c:v>
                </c:pt>
                <c:pt idx="107">
                  <c:v>10368.000000000044</c:v>
                </c:pt>
                <c:pt idx="108">
                  <c:v>9936.0000000000437</c:v>
                </c:pt>
                <c:pt idx="109">
                  <c:v>9936.0000000000437</c:v>
                </c:pt>
                <c:pt idx="110">
                  <c:v>9504.0000000000437</c:v>
                </c:pt>
                <c:pt idx="111">
                  <c:v>9504.0000000000437</c:v>
                </c:pt>
                <c:pt idx="112">
                  <c:v>9072.0000000000437</c:v>
                </c:pt>
                <c:pt idx="113">
                  <c:v>9072.0000000000437</c:v>
                </c:pt>
                <c:pt idx="114">
                  <c:v>8640.0000000000437</c:v>
                </c:pt>
                <c:pt idx="115">
                  <c:v>8640.0000000000437</c:v>
                </c:pt>
                <c:pt idx="116">
                  <c:v>8208.0000000000437</c:v>
                </c:pt>
                <c:pt idx="117">
                  <c:v>8208.0000000000437</c:v>
                </c:pt>
                <c:pt idx="118">
                  <c:v>7776.0000000000437</c:v>
                </c:pt>
                <c:pt idx="119">
                  <c:v>7776.0000000000437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360128"/>
        <c:axId val="141361920"/>
      </c:scatterChart>
      <c:valAx>
        <c:axId val="14136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361920"/>
        <c:crosses val="autoZero"/>
        <c:crossBetween val="midCat"/>
        <c:majorUnit val="3"/>
      </c:valAx>
      <c:valAx>
        <c:axId val="141361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413601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Остаточная стоимость на конец месяца методом Суммы чисел лет</a:t>
            </a:r>
          </a:p>
        </c:rich>
      </c:tx>
      <c:layout>
        <c:manualLayout>
          <c:xMode val="edge"/>
          <c:yMode val="edge"/>
          <c:x val="0.2338973757312594"/>
          <c:y val="4.36972405476342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234511979374927E-2"/>
          <c:y val="2.1158621988394941E-2"/>
          <c:w val="0.88649812166315256"/>
          <c:h val="0.831951790779515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'Сумма чисел лет'!$G$19</c:f>
              <c:strCache>
                <c:ptCount val="1"/>
                <c:pt idx="0">
                  <c:v>Остаточная стоимость на конец месяца</c:v>
                </c:pt>
              </c:strCache>
            </c:strRef>
          </c:tx>
          <c:spPr>
            <a:ln w="12700"/>
          </c:spPr>
          <c:marker>
            <c:symbol val="none"/>
          </c:marker>
          <c:dPt>
            <c:idx val="119"/>
            <c:marker>
              <c:symbol val="circle"/>
              <c:size val="5"/>
            </c:marker>
            <c:bubble3D val="0"/>
          </c:dPt>
          <c:dLbls>
            <c:dLbl>
              <c:idx val="119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'Сумма чисел лет'!$F$20:$F$139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12</c:v>
                </c:pt>
                <c:pt idx="22">
                  <c:v>12</c:v>
                </c:pt>
                <c:pt idx="23">
                  <c:v>13</c:v>
                </c:pt>
                <c:pt idx="24">
                  <c:v>13</c:v>
                </c:pt>
                <c:pt idx="25">
                  <c:v>14</c:v>
                </c:pt>
                <c:pt idx="26">
                  <c:v>14</c:v>
                </c:pt>
                <c:pt idx="27">
                  <c:v>15</c:v>
                </c:pt>
                <c:pt idx="28">
                  <c:v>15</c:v>
                </c:pt>
                <c:pt idx="29">
                  <c:v>16</c:v>
                </c:pt>
                <c:pt idx="30">
                  <c:v>16</c:v>
                </c:pt>
                <c:pt idx="31">
                  <c:v>17</c:v>
                </c:pt>
                <c:pt idx="32">
                  <c:v>17</c:v>
                </c:pt>
                <c:pt idx="33">
                  <c:v>18</c:v>
                </c:pt>
                <c:pt idx="34">
                  <c:v>18</c:v>
                </c:pt>
                <c:pt idx="35">
                  <c:v>19</c:v>
                </c:pt>
                <c:pt idx="36">
                  <c:v>19</c:v>
                </c:pt>
                <c:pt idx="37">
                  <c:v>20</c:v>
                </c:pt>
                <c:pt idx="38">
                  <c:v>20</c:v>
                </c:pt>
                <c:pt idx="39">
                  <c:v>21</c:v>
                </c:pt>
                <c:pt idx="40">
                  <c:v>21</c:v>
                </c:pt>
                <c:pt idx="41">
                  <c:v>22</c:v>
                </c:pt>
                <c:pt idx="42">
                  <c:v>22</c:v>
                </c:pt>
                <c:pt idx="43">
                  <c:v>23</c:v>
                </c:pt>
                <c:pt idx="44">
                  <c:v>23</c:v>
                </c:pt>
                <c:pt idx="45">
                  <c:v>24</c:v>
                </c:pt>
                <c:pt idx="46">
                  <c:v>24</c:v>
                </c:pt>
                <c:pt idx="47">
                  <c:v>25</c:v>
                </c:pt>
                <c:pt idx="48">
                  <c:v>25</c:v>
                </c:pt>
                <c:pt idx="49">
                  <c:v>26</c:v>
                </c:pt>
                <c:pt idx="50">
                  <c:v>26</c:v>
                </c:pt>
                <c:pt idx="51">
                  <c:v>27</c:v>
                </c:pt>
                <c:pt idx="52">
                  <c:v>27</c:v>
                </c:pt>
                <c:pt idx="53">
                  <c:v>28</c:v>
                </c:pt>
                <c:pt idx="54">
                  <c:v>28</c:v>
                </c:pt>
                <c:pt idx="55">
                  <c:v>29</c:v>
                </c:pt>
                <c:pt idx="56">
                  <c:v>29</c:v>
                </c:pt>
                <c:pt idx="57">
                  <c:v>30</c:v>
                </c:pt>
                <c:pt idx="58">
                  <c:v>30</c:v>
                </c:pt>
                <c:pt idx="59">
                  <c:v>31</c:v>
                </c:pt>
                <c:pt idx="60">
                  <c:v>31</c:v>
                </c:pt>
                <c:pt idx="61">
                  <c:v>32</c:v>
                </c:pt>
                <c:pt idx="62">
                  <c:v>32</c:v>
                </c:pt>
                <c:pt idx="63">
                  <c:v>33</c:v>
                </c:pt>
                <c:pt idx="64">
                  <c:v>33</c:v>
                </c:pt>
                <c:pt idx="65">
                  <c:v>34</c:v>
                </c:pt>
                <c:pt idx="66">
                  <c:v>34</c:v>
                </c:pt>
                <c:pt idx="67">
                  <c:v>35</c:v>
                </c:pt>
                <c:pt idx="68">
                  <c:v>35</c:v>
                </c:pt>
                <c:pt idx="69">
                  <c:v>36</c:v>
                </c:pt>
                <c:pt idx="70">
                  <c:v>36</c:v>
                </c:pt>
                <c:pt idx="71">
                  <c:v>37</c:v>
                </c:pt>
                <c:pt idx="72">
                  <c:v>37</c:v>
                </c:pt>
                <c:pt idx="73">
                  <c:v>38</c:v>
                </c:pt>
                <c:pt idx="74">
                  <c:v>38</c:v>
                </c:pt>
                <c:pt idx="75">
                  <c:v>39</c:v>
                </c:pt>
                <c:pt idx="76">
                  <c:v>39</c:v>
                </c:pt>
                <c:pt idx="77">
                  <c:v>40</c:v>
                </c:pt>
                <c:pt idx="78">
                  <c:v>40</c:v>
                </c:pt>
                <c:pt idx="79">
                  <c:v>41</c:v>
                </c:pt>
                <c:pt idx="80">
                  <c:v>41</c:v>
                </c:pt>
                <c:pt idx="81">
                  <c:v>42</c:v>
                </c:pt>
                <c:pt idx="82">
                  <c:v>42</c:v>
                </c:pt>
                <c:pt idx="83">
                  <c:v>43</c:v>
                </c:pt>
                <c:pt idx="84">
                  <c:v>43</c:v>
                </c:pt>
                <c:pt idx="85">
                  <c:v>44</c:v>
                </c:pt>
                <c:pt idx="86">
                  <c:v>44</c:v>
                </c:pt>
                <c:pt idx="87">
                  <c:v>45</c:v>
                </c:pt>
                <c:pt idx="88">
                  <c:v>45</c:v>
                </c:pt>
                <c:pt idx="89">
                  <c:v>46</c:v>
                </c:pt>
                <c:pt idx="90">
                  <c:v>46</c:v>
                </c:pt>
                <c:pt idx="91">
                  <c:v>47</c:v>
                </c:pt>
                <c:pt idx="92">
                  <c:v>47</c:v>
                </c:pt>
                <c:pt idx="93">
                  <c:v>48</c:v>
                </c:pt>
                <c:pt idx="94">
                  <c:v>48</c:v>
                </c:pt>
                <c:pt idx="95">
                  <c:v>49</c:v>
                </c:pt>
                <c:pt idx="96">
                  <c:v>49</c:v>
                </c:pt>
                <c:pt idx="97">
                  <c:v>50</c:v>
                </c:pt>
                <c:pt idx="98">
                  <c:v>50</c:v>
                </c:pt>
                <c:pt idx="99">
                  <c:v>51</c:v>
                </c:pt>
                <c:pt idx="100">
                  <c:v>51</c:v>
                </c:pt>
                <c:pt idx="101">
                  <c:v>52</c:v>
                </c:pt>
                <c:pt idx="102">
                  <c:v>52</c:v>
                </c:pt>
                <c:pt idx="103">
                  <c:v>53</c:v>
                </c:pt>
                <c:pt idx="104">
                  <c:v>53</c:v>
                </c:pt>
                <c:pt idx="105">
                  <c:v>54</c:v>
                </c:pt>
                <c:pt idx="106">
                  <c:v>54</c:v>
                </c:pt>
                <c:pt idx="107">
                  <c:v>55</c:v>
                </c:pt>
                <c:pt idx="108">
                  <c:v>55</c:v>
                </c:pt>
                <c:pt idx="109">
                  <c:v>56</c:v>
                </c:pt>
                <c:pt idx="110">
                  <c:v>56</c:v>
                </c:pt>
                <c:pt idx="111">
                  <c:v>57</c:v>
                </c:pt>
                <c:pt idx="112">
                  <c:v>57</c:v>
                </c:pt>
                <c:pt idx="113">
                  <c:v>58</c:v>
                </c:pt>
                <c:pt idx="114">
                  <c:v>58</c:v>
                </c:pt>
                <c:pt idx="115">
                  <c:v>59</c:v>
                </c:pt>
                <c:pt idx="116">
                  <c:v>59</c:v>
                </c:pt>
                <c:pt idx="117">
                  <c:v>60</c:v>
                </c:pt>
                <c:pt idx="118">
                  <c:v>60</c:v>
                </c:pt>
                <c:pt idx="119">
                  <c:v>61</c:v>
                </c:pt>
              </c:numCache>
            </c:numRef>
          </c:xVal>
          <c:yVal>
            <c:numRef>
              <c:f>'Сумма чисел лет'!$G$20:$G$139</c:f>
              <c:numCache>
                <c:formatCode>#,##0.00</c:formatCode>
                <c:ptCount val="120"/>
                <c:pt idx="0">
                  <c:v>145833.33333333334</c:v>
                </c:pt>
                <c:pt idx="1">
                  <c:v>145833.33333333334</c:v>
                </c:pt>
                <c:pt idx="2">
                  <c:v>141666.66666666669</c:v>
                </c:pt>
                <c:pt idx="3">
                  <c:v>141666.66666666669</c:v>
                </c:pt>
                <c:pt idx="4">
                  <c:v>137500.00000000003</c:v>
                </c:pt>
                <c:pt idx="5">
                  <c:v>137500.00000000003</c:v>
                </c:pt>
                <c:pt idx="6">
                  <c:v>133333.33333333337</c:v>
                </c:pt>
                <c:pt idx="7">
                  <c:v>133333.33333333337</c:v>
                </c:pt>
                <c:pt idx="8">
                  <c:v>129166.6666666667</c:v>
                </c:pt>
                <c:pt idx="9">
                  <c:v>129166.6666666667</c:v>
                </c:pt>
                <c:pt idx="10">
                  <c:v>125000.00000000003</c:v>
                </c:pt>
                <c:pt idx="11">
                  <c:v>125000.00000000003</c:v>
                </c:pt>
                <c:pt idx="12">
                  <c:v>120833.33333333336</c:v>
                </c:pt>
                <c:pt idx="13">
                  <c:v>120833.33333333336</c:v>
                </c:pt>
                <c:pt idx="14">
                  <c:v>116666.66666666669</c:v>
                </c:pt>
                <c:pt idx="15">
                  <c:v>116666.66666666669</c:v>
                </c:pt>
                <c:pt idx="16">
                  <c:v>112500.00000000001</c:v>
                </c:pt>
                <c:pt idx="17">
                  <c:v>112500.00000000001</c:v>
                </c:pt>
                <c:pt idx="18">
                  <c:v>108333.33333333334</c:v>
                </c:pt>
                <c:pt idx="19">
                  <c:v>108333.33333333334</c:v>
                </c:pt>
                <c:pt idx="20">
                  <c:v>104166.66666666667</c:v>
                </c:pt>
                <c:pt idx="21">
                  <c:v>104166.66666666667</c:v>
                </c:pt>
                <c:pt idx="22">
                  <c:v>100000</c:v>
                </c:pt>
                <c:pt idx="23">
                  <c:v>100000</c:v>
                </c:pt>
                <c:pt idx="24">
                  <c:v>96666.666666666672</c:v>
                </c:pt>
                <c:pt idx="25">
                  <c:v>96666.666666666672</c:v>
                </c:pt>
                <c:pt idx="26">
                  <c:v>93333.333333333343</c:v>
                </c:pt>
                <c:pt idx="27">
                  <c:v>93333.333333333343</c:v>
                </c:pt>
                <c:pt idx="28">
                  <c:v>90000.000000000015</c:v>
                </c:pt>
                <c:pt idx="29">
                  <c:v>90000.000000000015</c:v>
                </c:pt>
                <c:pt idx="30">
                  <c:v>86666.666666666686</c:v>
                </c:pt>
                <c:pt idx="31">
                  <c:v>86666.666666666686</c:v>
                </c:pt>
                <c:pt idx="32">
                  <c:v>83333.333333333358</c:v>
                </c:pt>
                <c:pt idx="33">
                  <c:v>83333.333333333358</c:v>
                </c:pt>
                <c:pt idx="34">
                  <c:v>80000.000000000029</c:v>
                </c:pt>
                <c:pt idx="35">
                  <c:v>80000.000000000029</c:v>
                </c:pt>
                <c:pt idx="36">
                  <c:v>76666.666666666701</c:v>
                </c:pt>
                <c:pt idx="37">
                  <c:v>76666.666666666701</c:v>
                </c:pt>
                <c:pt idx="38">
                  <c:v>73333.333333333372</c:v>
                </c:pt>
                <c:pt idx="39">
                  <c:v>73333.333333333372</c:v>
                </c:pt>
                <c:pt idx="40">
                  <c:v>70000.000000000044</c:v>
                </c:pt>
                <c:pt idx="41">
                  <c:v>70000.000000000044</c:v>
                </c:pt>
                <c:pt idx="42">
                  <c:v>66666.666666666715</c:v>
                </c:pt>
                <c:pt idx="43">
                  <c:v>66666.666666666715</c:v>
                </c:pt>
                <c:pt idx="44">
                  <c:v>63333.333333333379</c:v>
                </c:pt>
                <c:pt idx="45">
                  <c:v>63333.333333333379</c:v>
                </c:pt>
                <c:pt idx="46">
                  <c:v>60000.000000000044</c:v>
                </c:pt>
                <c:pt idx="47">
                  <c:v>60000.000000000044</c:v>
                </c:pt>
                <c:pt idx="48">
                  <c:v>57500.000000000044</c:v>
                </c:pt>
                <c:pt idx="49">
                  <c:v>57500.000000000044</c:v>
                </c:pt>
                <c:pt idx="50">
                  <c:v>55000.000000000044</c:v>
                </c:pt>
                <c:pt idx="51">
                  <c:v>55000.000000000044</c:v>
                </c:pt>
                <c:pt idx="52">
                  <c:v>52500.000000000044</c:v>
                </c:pt>
                <c:pt idx="53">
                  <c:v>52500.000000000044</c:v>
                </c:pt>
                <c:pt idx="54">
                  <c:v>50000.000000000044</c:v>
                </c:pt>
                <c:pt idx="55">
                  <c:v>50000.000000000044</c:v>
                </c:pt>
                <c:pt idx="56">
                  <c:v>47500.000000000044</c:v>
                </c:pt>
                <c:pt idx="57">
                  <c:v>47500.000000000044</c:v>
                </c:pt>
                <c:pt idx="58">
                  <c:v>45000.000000000044</c:v>
                </c:pt>
                <c:pt idx="59">
                  <c:v>45000.000000000044</c:v>
                </c:pt>
                <c:pt idx="60">
                  <c:v>42500.000000000044</c:v>
                </c:pt>
                <c:pt idx="61">
                  <c:v>42500.000000000044</c:v>
                </c:pt>
                <c:pt idx="62">
                  <c:v>40000.000000000044</c:v>
                </c:pt>
                <c:pt idx="63">
                  <c:v>40000.000000000044</c:v>
                </c:pt>
                <c:pt idx="64">
                  <c:v>37500.000000000044</c:v>
                </c:pt>
                <c:pt idx="65">
                  <c:v>37500.000000000044</c:v>
                </c:pt>
                <c:pt idx="66">
                  <c:v>35000.000000000044</c:v>
                </c:pt>
                <c:pt idx="67">
                  <c:v>35000.000000000044</c:v>
                </c:pt>
                <c:pt idx="68">
                  <c:v>32500.000000000044</c:v>
                </c:pt>
                <c:pt idx="69">
                  <c:v>32500.000000000044</c:v>
                </c:pt>
                <c:pt idx="70">
                  <c:v>30000.000000000044</c:v>
                </c:pt>
                <c:pt idx="71">
                  <c:v>30000.000000000044</c:v>
                </c:pt>
                <c:pt idx="72">
                  <c:v>28333.333333333376</c:v>
                </c:pt>
                <c:pt idx="73">
                  <c:v>28333.333333333376</c:v>
                </c:pt>
                <c:pt idx="74">
                  <c:v>26666.666666666708</c:v>
                </c:pt>
                <c:pt idx="75">
                  <c:v>26666.666666666708</c:v>
                </c:pt>
                <c:pt idx="76">
                  <c:v>25000.00000000004</c:v>
                </c:pt>
                <c:pt idx="77">
                  <c:v>25000.00000000004</c:v>
                </c:pt>
                <c:pt idx="78">
                  <c:v>23333.333333333372</c:v>
                </c:pt>
                <c:pt idx="79">
                  <c:v>23333.333333333372</c:v>
                </c:pt>
                <c:pt idx="80">
                  <c:v>21666.666666666704</c:v>
                </c:pt>
                <c:pt idx="81">
                  <c:v>21666.666666666704</c:v>
                </c:pt>
                <c:pt idx="82">
                  <c:v>20000.000000000036</c:v>
                </c:pt>
                <c:pt idx="83">
                  <c:v>20000.000000000036</c:v>
                </c:pt>
                <c:pt idx="84">
                  <c:v>18333.333333333369</c:v>
                </c:pt>
                <c:pt idx="85">
                  <c:v>18333.333333333369</c:v>
                </c:pt>
                <c:pt idx="86">
                  <c:v>16666.666666666701</c:v>
                </c:pt>
                <c:pt idx="87">
                  <c:v>16666.666666666701</c:v>
                </c:pt>
                <c:pt idx="88">
                  <c:v>15000.000000000035</c:v>
                </c:pt>
                <c:pt idx="89">
                  <c:v>15000.000000000035</c:v>
                </c:pt>
                <c:pt idx="90">
                  <c:v>13333.333333333369</c:v>
                </c:pt>
                <c:pt idx="91">
                  <c:v>13333.333333333369</c:v>
                </c:pt>
                <c:pt idx="92">
                  <c:v>11666.666666666702</c:v>
                </c:pt>
                <c:pt idx="93">
                  <c:v>11666.666666666702</c:v>
                </c:pt>
                <c:pt idx="94">
                  <c:v>10000.000000000036</c:v>
                </c:pt>
                <c:pt idx="95">
                  <c:v>10000.000000000036</c:v>
                </c:pt>
                <c:pt idx="96">
                  <c:v>9166.6666666667024</c:v>
                </c:pt>
                <c:pt idx="97">
                  <c:v>9166.6666666667024</c:v>
                </c:pt>
                <c:pt idx="98">
                  <c:v>8333.3333333333685</c:v>
                </c:pt>
                <c:pt idx="99">
                  <c:v>8333.3333333333685</c:v>
                </c:pt>
                <c:pt idx="100">
                  <c:v>7500.0000000000355</c:v>
                </c:pt>
                <c:pt idx="101">
                  <c:v>7500.0000000000355</c:v>
                </c:pt>
                <c:pt idx="102">
                  <c:v>6666.6666666667024</c:v>
                </c:pt>
                <c:pt idx="103">
                  <c:v>6666.6666666667024</c:v>
                </c:pt>
                <c:pt idx="104">
                  <c:v>5833.3333333333694</c:v>
                </c:pt>
                <c:pt idx="105">
                  <c:v>5833.3333333333694</c:v>
                </c:pt>
                <c:pt idx="106">
                  <c:v>5000.0000000000364</c:v>
                </c:pt>
                <c:pt idx="107">
                  <c:v>5000.0000000000364</c:v>
                </c:pt>
                <c:pt idx="108">
                  <c:v>4166.6666666667033</c:v>
                </c:pt>
                <c:pt idx="109">
                  <c:v>4166.6666666667033</c:v>
                </c:pt>
                <c:pt idx="110">
                  <c:v>3333.3333333333699</c:v>
                </c:pt>
                <c:pt idx="111">
                  <c:v>3333.3333333333699</c:v>
                </c:pt>
                <c:pt idx="112">
                  <c:v>2500.0000000000364</c:v>
                </c:pt>
                <c:pt idx="113">
                  <c:v>2500.0000000000364</c:v>
                </c:pt>
                <c:pt idx="114">
                  <c:v>1666.6666666667029</c:v>
                </c:pt>
                <c:pt idx="115">
                  <c:v>1666.6666666667029</c:v>
                </c:pt>
                <c:pt idx="116">
                  <c:v>833.33333333336952</c:v>
                </c:pt>
                <c:pt idx="117">
                  <c:v>833.33333333336952</c:v>
                </c:pt>
                <c:pt idx="118">
                  <c:v>3.6152414395473897E-11</c:v>
                </c:pt>
                <c:pt idx="119">
                  <c:v>3.6152414395473897E-11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416704"/>
        <c:axId val="141721600"/>
      </c:scatterChart>
      <c:valAx>
        <c:axId val="14141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721600"/>
        <c:crosses val="autoZero"/>
        <c:crossBetween val="midCat"/>
        <c:majorUnit val="3"/>
      </c:valAx>
      <c:valAx>
        <c:axId val="1417216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414167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Величина амортизации актива за период</a:t>
            </a:r>
          </a:p>
        </c:rich>
      </c:tx>
      <c:layout>
        <c:manualLayout>
          <c:xMode val="edge"/>
          <c:yMode val="edge"/>
          <c:x val="0.22014621343063825"/>
          <c:y val="4.966571155682903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4061413055075427E-2"/>
          <c:y val="3.4996121938658378E-2"/>
          <c:w val="0.88209034846253975"/>
          <c:h val="0.66907540812717559"/>
        </c:manualLayout>
      </c:layout>
      <c:lineChart>
        <c:grouping val="standard"/>
        <c:varyColors val="0"/>
        <c:ser>
          <c:idx val="0"/>
          <c:order val="0"/>
          <c:tx>
            <c:strRef>
              <c:f>Функции!$B$13</c:f>
              <c:strCache>
                <c:ptCount val="1"/>
                <c:pt idx="0">
                  <c:v>Линейный метод (АПЛ)</c:v>
                </c:pt>
              </c:strCache>
            </c:strRef>
          </c:tx>
          <c:marker>
            <c:symbol val="circle"/>
            <c:size val="5"/>
          </c:marker>
          <c:cat>
            <c:numRef>
              <c:f>Функции!$A$14:$A$23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Функции!$B$14:$B$23</c:f>
              <c:numCache>
                <c:formatCode>#,##0.00</c:formatCode>
                <c:ptCount val="10"/>
                <c:pt idx="0">
                  <c:v>9000</c:v>
                </c:pt>
                <c:pt idx="1">
                  <c:v>9000</c:v>
                </c:pt>
                <c:pt idx="2">
                  <c:v>9000</c:v>
                </c:pt>
                <c:pt idx="3">
                  <c:v>9000</c:v>
                </c:pt>
                <c:pt idx="4">
                  <c:v>9000</c:v>
                </c:pt>
                <c:pt idx="5">
                  <c:v>9000</c:v>
                </c:pt>
                <c:pt idx="6">
                  <c:v>9000</c:v>
                </c:pt>
                <c:pt idx="7">
                  <c:v>9000</c:v>
                </c:pt>
                <c:pt idx="8">
                  <c:v>9000</c:v>
                </c:pt>
                <c:pt idx="9">
                  <c:v>9000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Функции!$C$13</c:f>
              <c:strCache>
                <c:ptCount val="1"/>
                <c:pt idx="0">
                  <c:v>Метод фиксированного уменьшения остатка (ФУО), [месяцы]=12</c:v>
                </c:pt>
              </c:strCache>
            </c:strRef>
          </c:tx>
          <c:marker>
            <c:symbol val="circle"/>
            <c:size val="5"/>
          </c:marker>
          <c:cat>
            <c:numRef>
              <c:f>Функции!$A$14:$A$23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Функции!$C$14:$C$23</c:f>
              <c:numCache>
                <c:formatCode>#,##0.00</c:formatCode>
                <c:ptCount val="10"/>
                <c:pt idx="0">
                  <c:v>20600</c:v>
                </c:pt>
                <c:pt idx="1">
                  <c:v>16356.4</c:v>
                </c:pt>
                <c:pt idx="2">
                  <c:v>12986.981599999999</c:v>
                </c:pt>
                <c:pt idx="3">
                  <c:v>10311.663390399999</c:v>
                </c:pt>
                <c:pt idx="4">
                  <c:v>8187.4607319775996</c:v>
                </c:pt>
                <c:pt idx="5">
                  <c:v>6500.8438211902139</c:v>
                </c:pt>
                <c:pt idx="6">
                  <c:v>5161.6699940250301</c:v>
                </c:pt>
                <c:pt idx="7">
                  <c:v>4098.3659752558742</c:v>
                </c:pt>
                <c:pt idx="8">
                  <c:v>3254.1025843531643</c:v>
                </c:pt>
                <c:pt idx="9">
                  <c:v>2583.7574519764125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Функции!$D$13</c:f>
              <c:strCache>
                <c:ptCount val="1"/>
                <c:pt idx="0">
                  <c:v>Метод двойного уменьшения остатка (ДДОБ)</c:v>
                </c:pt>
              </c:strCache>
            </c:strRef>
          </c:tx>
          <c:marker>
            <c:symbol val="circle"/>
            <c:size val="6"/>
          </c:marker>
          <c:val>
            <c:numRef>
              <c:f>Функции!$D$14:$D$23</c:f>
              <c:numCache>
                <c:formatCode>#,##0.00</c:formatCode>
                <c:ptCount val="10"/>
                <c:pt idx="0">
                  <c:v>20000</c:v>
                </c:pt>
                <c:pt idx="1">
                  <c:v>16000</c:v>
                </c:pt>
                <c:pt idx="2">
                  <c:v>12800.000000000004</c:v>
                </c:pt>
                <c:pt idx="3">
                  <c:v>10240.000000000004</c:v>
                </c:pt>
                <c:pt idx="4">
                  <c:v>8192.0000000000055</c:v>
                </c:pt>
                <c:pt idx="5">
                  <c:v>6553.6000000000049</c:v>
                </c:pt>
                <c:pt idx="6">
                  <c:v>5242.8800000000037</c:v>
                </c:pt>
                <c:pt idx="7">
                  <c:v>4194.3040000000028</c:v>
                </c:pt>
                <c:pt idx="8">
                  <c:v>3355.4432000000033</c:v>
                </c:pt>
                <c:pt idx="9">
                  <c:v>2684.3545600000025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Функции!$E$13</c:f>
              <c:strCache>
                <c:ptCount val="1"/>
                <c:pt idx="0">
                  <c:v>Метод суммы годовых чисел (АСЧ)</c:v>
                </c:pt>
              </c:strCache>
            </c:strRef>
          </c:tx>
          <c:marker>
            <c:symbol val="circle"/>
            <c:size val="5"/>
          </c:marker>
          <c:val>
            <c:numRef>
              <c:f>Функции!$E$14:$E$23</c:f>
              <c:numCache>
                <c:formatCode>#,##0.00</c:formatCode>
                <c:ptCount val="10"/>
                <c:pt idx="0">
                  <c:v>16363.636363636364</c:v>
                </c:pt>
                <c:pt idx="1">
                  <c:v>14727.272727272728</c:v>
                </c:pt>
                <c:pt idx="2">
                  <c:v>13090.90909090909</c:v>
                </c:pt>
                <c:pt idx="3">
                  <c:v>11454.545454545454</c:v>
                </c:pt>
                <c:pt idx="4">
                  <c:v>9818.181818181818</c:v>
                </c:pt>
                <c:pt idx="5">
                  <c:v>8181.818181818182</c:v>
                </c:pt>
                <c:pt idx="6">
                  <c:v>6545.454545454545</c:v>
                </c:pt>
                <c:pt idx="7">
                  <c:v>4909.090909090909</c:v>
                </c:pt>
                <c:pt idx="8">
                  <c:v>3272.7272727272725</c:v>
                </c:pt>
                <c:pt idx="9">
                  <c:v>1636.3636363636363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240000"/>
        <c:axId val="142241792"/>
      </c:lineChart>
      <c:catAx>
        <c:axId val="14224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241792"/>
        <c:crosses val="autoZero"/>
        <c:auto val="1"/>
        <c:lblAlgn val="ctr"/>
        <c:lblOffset val="100"/>
        <c:noMultiLvlLbl val="0"/>
      </c:catAx>
      <c:valAx>
        <c:axId val="1422417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422400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10827305123442"/>
          <c:y val="0.76727611176262545"/>
          <c:w val="0.73379954334976416"/>
          <c:h val="0.2138113586865471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276226</xdr:colOff>
      <xdr:row>5</xdr:row>
      <xdr:rowOff>133351</xdr:rowOff>
    </xdr:from>
    <xdr:to>
      <xdr:col>11</xdr:col>
      <xdr:colOff>1</xdr:colOff>
      <xdr:row>20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114299</xdr:colOff>
      <xdr:row>1</xdr:row>
      <xdr:rowOff>95249</xdr:rowOff>
    </xdr:from>
    <xdr:to>
      <xdr:col>15</xdr:col>
      <xdr:colOff>123824</xdr:colOff>
      <xdr:row>18</xdr:row>
      <xdr:rowOff>161924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</xdr:colOff>
      <xdr:row>0</xdr:row>
      <xdr:rowOff>0</xdr:rowOff>
    </xdr:from>
    <xdr:to>
      <xdr:col>13</xdr:col>
      <xdr:colOff>228599</xdr:colOff>
      <xdr:row>17</xdr:row>
      <xdr:rowOff>104776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8</xdr:row>
      <xdr:rowOff>9525</xdr:rowOff>
    </xdr:from>
    <xdr:to>
      <xdr:col>12</xdr:col>
      <xdr:colOff>152399</xdr:colOff>
      <xdr:row>27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2.ru/articles/raschet-amortizacii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raschet-amortizacii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48"/>
  <sheetViews>
    <sheetView topLeftCell="A20" workbookViewId="0">
      <selection activeCell="E13" sqref="E13"/>
    </sheetView>
  </sheetViews>
  <sheetFormatPr defaultRowHeight="15" x14ac:dyDescent="0.25"/>
  <cols>
    <col min="1" max="1" width="51.42578125" customWidth="1"/>
    <col min="2" max="2" width="18.7109375" customWidth="1"/>
    <col min="3" max="3" width="11.42578125" customWidth="1"/>
    <col min="4" max="4" width="21.5703125" customWidth="1"/>
    <col min="5" max="6" width="10.7109375" bestFit="1" customWidth="1"/>
  </cols>
  <sheetData>
    <row r="1" spans="1:6" ht="26.25" x14ac:dyDescent="0.25">
      <c r="A1" s="73" t="s">
        <v>79</v>
      </c>
      <c r="B1" s="73"/>
      <c r="C1" s="73"/>
      <c r="D1" s="73"/>
      <c r="E1" s="73"/>
      <c r="F1" s="73"/>
    </row>
    <row r="2" spans="1:6" ht="15.75" x14ac:dyDescent="0.25">
      <c r="A2" s="76" t="s">
        <v>80</v>
      </c>
      <c r="B2" s="74"/>
      <c r="C2" s="74"/>
      <c r="D2" s="74"/>
      <c r="E2" s="74"/>
      <c r="F2" s="74"/>
    </row>
    <row r="3" spans="1:6" ht="18.75" x14ac:dyDescent="0.25">
      <c r="A3" s="75" t="s">
        <v>81</v>
      </c>
      <c r="B3" s="75"/>
      <c r="C3" s="75"/>
      <c r="D3" s="75"/>
      <c r="E3" s="75"/>
      <c r="F3" s="75"/>
    </row>
    <row r="4" spans="1:6" ht="15.75" x14ac:dyDescent="0.25">
      <c r="A4" s="34" t="s">
        <v>45</v>
      </c>
    </row>
    <row r="5" spans="1:6" hidden="1" x14ac:dyDescent="0.25"/>
    <row r="6" spans="1:6" x14ac:dyDescent="0.25">
      <c r="A6" s="7" t="s">
        <v>6</v>
      </c>
      <c r="B6" s="7" t="s">
        <v>3</v>
      </c>
      <c r="C6" s="7" t="s">
        <v>2</v>
      </c>
    </row>
    <row r="7" spans="1:6" x14ac:dyDescent="0.25">
      <c r="A7" s="8" t="s">
        <v>23</v>
      </c>
      <c r="B7" s="9">
        <v>120000</v>
      </c>
      <c r="C7" s="8" t="s">
        <v>4</v>
      </c>
    </row>
    <row r="8" spans="1:6" ht="30" x14ac:dyDescent="0.25">
      <c r="A8" s="37" t="s">
        <v>27</v>
      </c>
      <c r="B8" s="36">
        <v>41638</v>
      </c>
      <c r="C8" s="8"/>
    </row>
    <row r="9" spans="1:6" x14ac:dyDescent="0.25">
      <c r="A9" s="37" t="s">
        <v>28</v>
      </c>
      <c r="B9" s="38">
        <f>EOMONTH(B8,0)+1</f>
        <v>41640</v>
      </c>
      <c r="C9" s="8"/>
    </row>
    <row r="10" spans="1:6" x14ac:dyDescent="0.25">
      <c r="A10" s="8" t="s">
        <v>24</v>
      </c>
      <c r="B10" s="30">
        <v>5</v>
      </c>
      <c r="C10" s="8" t="s">
        <v>5</v>
      </c>
    </row>
    <row r="11" spans="1:6" x14ac:dyDescent="0.25">
      <c r="A11" s="37" t="s">
        <v>50</v>
      </c>
      <c r="B11" s="38">
        <f>EOMONTH(B8,B10*12)</f>
        <v>43465</v>
      </c>
      <c r="C11" s="8"/>
    </row>
    <row r="12" spans="1:6" x14ac:dyDescent="0.25">
      <c r="A12" s="8" t="s">
        <v>25</v>
      </c>
      <c r="B12" s="31">
        <f>100%/B10</f>
        <v>0.2</v>
      </c>
      <c r="C12" s="8"/>
      <c r="D12" s="8" t="s">
        <v>33</v>
      </c>
      <c r="E12" s="8" t="s">
        <v>72</v>
      </c>
    </row>
    <row r="13" spans="1:6" x14ac:dyDescent="0.25">
      <c r="A13" s="35" t="s">
        <v>26</v>
      </c>
      <c r="B13" s="33">
        <f>B7*B12</f>
        <v>24000</v>
      </c>
      <c r="C13" s="32" t="s">
        <v>4</v>
      </c>
      <c r="D13" s="33">
        <f>SLN(B7,,B10)</f>
        <v>24000</v>
      </c>
      <c r="E13" s="33">
        <f>VDB(B7,,B10,0,1,1)</f>
        <v>24000</v>
      </c>
    </row>
    <row r="14" spans="1:6" x14ac:dyDescent="0.25">
      <c r="A14" s="39" t="s">
        <v>30</v>
      </c>
      <c r="B14" s="46">
        <f>B7-B13*B10</f>
        <v>0</v>
      </c>
    </row>
    <row r="15" spans="1:6" x14ac:dyDescent="0.25">
      <c r="A15" s="37" t="s">
        <v>53</v>
      </c>
      <c r="B15" s="66">
        <f>B7/B10/12</f>
        <v>2000</v>
      </c>
      <c r="C15" s="68" t="s">
        <v>4</v>
      </c>
    </row>
    <row r="16" spans="1:6" x14ac:dyDescent="0.25">
      <c r="B16" s="45"/>
    </row>
    <row r="18" spans="1:5" ht="15.75" x14ac:dyDescent="0.25">
      <c r="A18" s="34" t="s">
        <v>46</v>
      </c>
    </row>
    <row r="19" spans="1:5" hidden="1" x14ac:dyDescent="0.25"/>
    <row r="20" spans="1:5" x14ac:dyDescent="0.25">
      <c r="A20" s="7" t="s">
        <v>6</v>
      </c>
      <c r="B20" s="7" t="s">
        <v>3</v>
      </c>
      <c r="C20" s="7" t="s">
        <v>2</v>
      </c>
    </row>
    <row r="21" spans="1:5" x14ac:dyDescent="0.25">
      <c r="A21" s="8" t="s">
        <v>23</v>
      </c>
      <c r="B21" s="9">
        <v>20000</v>
      </c>
      <c r="C21" s="8" t="s">
        <v>4</v>
      </c>
    </row>
    <row r="22" spans="1:5" ht="30" x14ac:dyDescent="0.25">
      <c r="A22" s="37" t="s">
        <v>27</v>
      </c>
      <c r="B22" s="36">
        <v>41379</v>
      </c>
      <c r="C22" s="8"/>
    </row>
    <row r="23" spans="1:5" x14ac:dyDescent="0.25">
      <c r="A23" s="37" t="s">
        <v>28</v>
      </c>
      <c r="B23" s="38">
        <f>EOMONTH(B22,0)+1</f>
        <v>41395</v>
      </c>
      <c r="C23" s="8"/>
    </row>
    <row r="24" spans="1:5" x14ac:dyDescent="0.25">
      <c r="A24" s="8" t="s">
        <v>24</v>
      </c>
      <c r="B24" s="30">
        <v>4</v>
      </c>
      <c r="C24" s="8" t="s">
        <v>5</v>
      </c>
    </row>
    <row r="25" spans="1:5" x14ac:dyDescent="0.25">
      <c r="A25" s="37" t="s">
        <v>50</v>
      </c>
      <c r="B25" s="38">
        <f>EOMONTH(B22,B24*12)</f>
        <v>42855</v>
      </c>
      <c r="C25" s="8"/>
      <c r="D25" s="8" t="s">
        <v>33</v>
      </c>
      <c r="E25" s="8" t="s">
        <v>72</v>
      </c>
    </row>
    <row r="26" spans="1:5" x14ac:dyDescent="0.25">
      <c r="A26" s="35" t="s">
        <v>29</v>
      </c>
      <c r="B26" s="33">
        <f>B21*(12-MONTH(B23)+1)/(12*B24)</f>
        <v>3333.3333333333335</v>
      </c>
      <c r="C26" s="32" t="s">
        <v>4</v>
      </c>
      <c r="D26" s="33">
        <f>SLN(B21,,B24*12)*(12-MONTH(B23)+1)</f>
        <v>3333.3333333333335</v>
      </c>
      <c r="E26" s="33">
        <f>VDB($B$21,,$B$24*12,0,(12-MONTH($B$23)+1),1)</f>
        <v>3333.3333333333335</v>
      </c>
    </row>
    <row r="27" spans="1:5" x14ac:dyDescent="0.25">
      <c r="A27" s="35" t="s">
        <v>32</v>
      </c>
      <c r="B27" s="33">
        <f>B21/B24</f>
        <v>5000</v>
      </c>
      <c r="C27" s="32" t="s">
        <v>4</v>
      </c>
      <c r="D27" s="33">
        <f>SLN(B21,,B24)</f>
        <v>5000</v>
      </c>
      <c r="E27" s="33">
        <f>VDB($B$21,,$B$24,0,1,1)</f>
        <v>5000</v>
      </c>
    </row>
    <row r="28" spans="1:5" x14ac:dyDescent="0.25">
      <c r="A28" s="35" t="s">
        <v>31</v>
      </c>
      <c r="B28" s="33">
        <f>B21*(MONTH(B23)-1)/(12*B24)</f>
        <v>1666.6666666666667</v>
      </c>
      <c r="C28" s="32" t="s">
        <v>4</v>
      </c>
      <c r="D28" s="33">
        <f>SLN(B21,,B24*12)*(MONTH(B23)-1)</f>
        <v>1666.6666666666667</v>
      </c>
      <c r="E28" s="33">
        <f>VDB($B$21,,$B$24*12,0,(MONTH($B$23)-1),1)</f>
        <v>1666.6666666666667</v>
      </c>
    </row>
    <row r="29" spans="1:5" x14ac:dyDescent="0.25">
      <c r="A29" s="39" t="s">
        <v>30</v>
      </c>
      <c r="B29" s="46">
        <f>B21-B26-(B24-1)*B27-B28</f>
        <v>0</v>
      </c>
    </row>
    <row r="30" spans="1:5" x14ac:dyDescent="0.25">
      <c r="A30" s="37" t="s">
        <v>53</v>
      </c>
      <c r="B30" s="66">
        <f>B21/B24/12</f>
        <v>416.66666666666669</v>
      </c>
      <c r="C30" s="68" t="s">
        <v>4</v>
      </c>
    </row>
    <row r="31" spans="1:5" x14ac:dyDescent="0.25">
      <c r="A31" s="65"/>
      <c r="B31" s="65"/>
      <c r="C31" s="65"/>
    </row>
    <row r="32" spans="1:5" x14ac:dyDescent="0.25">
      <c r="A32" s="65"/>
      <c r="B32" s="65"/>
      <c r="C32" s="65"/>
    </row>
    <row r="33" spans="1:4" ht="15.75" x14ac:dyDescent="0.25">
      <c r="A33" s="34" t="s">
        <v>47</v>
      </c>
    </row>
    <row r="34" spans="1:4" hidden="1" x14ac:dyDescent="0.25"/>
    <row r="35" spans="1:4" x14ac:dyDescent="0.25">
      <c r="A35" s="7" t="s">
        <v>6</v>
      </c>
      <c r="B35" s="7" t="s">
        <v>3</v>
      </c>
      <c r="C35" s="7" t="s">
        <v>2</v>
      </c>
    </row>
    <row r="36" spans="1:4" x14ac:dyDescent="0.25">
      <c r="A36" s="8" t="s">
        <v>23</v>
      </c>
      <c r="B36" s="9">
        <v>20000</v>
      </c>
      <c r="C36" s="8" t="s">
        <v>4</v>
      </c>
    </row>
    <row r="37" spans="1:4" ht="30" x14ac:dyDescent="0.25">
      <c r="A37" s="37" t="s">
        <v>27</v>
      </c>
      <c r="B37" s="36">
        <v>41409</v>
      </c>
      <c r="C37" s="8"/>
    </row>
    <row r="38" spans="1:4" x14ac:dyDescent="0.25">
      <c r="A38" s="37" t="s">
        <v>28</v>
      </c>
      <c r="B38" s="38">
        <f>EOMONTH(B37,0)+1</f>
        <v>41426</v>
      </c>
      <c r="C38" s="8"/>
    </row>
    <row r="39" spans="1:4" x14ac:dyDescent="0.25">
      <c r="A39" s="8" t="s">
        <v>24</v>
      </c>
      <c r="B39" s="30">
        <v>35</v>
      </c>
      <c r="C39" s="8" t="s">
        <v>38</v>
      </c>
    </row>
    <row r="40" spans="1:4" x14ac:dyDescent="0.25">
      <c r="A40" s="37" t="s">
        <v>50</v>
      </c>
      <c r="B40" s="38">
        <f>EOMONTH(B37,B39)</f>
        <v>42490</v>
      </c>
      <c r="C40" s="8"/>
      <c r="D40" s="8" t="s">
        <v>33</v>
      </c>
    </row>
    <row r="41" spans="1:4" x14ac:dyDescent="0.25">
      <c r="A41" s="35" t="s">
        <v>29</v>
      </c>
      <c r="B41" s="33">
        <f>B36/B39*(12-MONTH(B38)+1)</f>
        <v>4000</v>
      </c>
      <c r="C41" s="32" t="s">
        <v>4</v>
      </c>
      <c r="D41" s="33">
        <f>SLN(B36,,B39)*(12-MONTH(B38)+1)</f>
        <v>4000</v>
      </c>
    </row>
    <row r="42" spans="1:4" x14ac:dyDescent="0.25">
      <c r="A42" s="35" t="s">
        <v>32</v>
      </c>
      <c r="B42" s="33">
        <f>B36/B39*12*(B46&lt;&gt;0)</f>
        <v>6857.1428571428569</v>
      </c>
      <c r="C42" s="32" t="s">
        <v>4</v>
      </c>
      <c r="D42" s="33">
        <f>SLN(B36,,B39)*12</f>
        <v>6857.1428571428569</v>
      </c>
    </row>
    <row r="43" spans="1:4" x14ac:dyDescent="0.25">
      <c r="A43" s="35" t="s">
        <v>31</v>
      </c>
      <c r="B43" s="33">
        <f>B36/B39*(MONTH(B40))</f>
        <v>2285.7142857142858</v>
      </c>
      <c r="C43" s="32" t="s">
        <v>4</v>
      </c>
      <c r="D43" s="33">
        <f>SLN(B36,,B39)*(MONTH(B40))</f>
        <v>2285.7142857142858</v>
      </c>
    </row>
    <row r="44" spans="1:4" x14ac:dyDescent="0.25">
      <c r="A44" s="39" t="s">
        <v>30</v>
      </c>
      <c r="B44" s="46">
        <f>B36-B41-B46*B42-B43</f>
        <v>0</v>
      </c>
    </row>
    <row r="45" spans="1:4" x14ac:dyDescent="0.25">
      <c r="A45" s="37" t="s">
        <v>53</v>
      </c>
      <c r="B45" s="66">
        <f>B36/B39</f>
        <v>571.42857142857144</v>
      </c>
      <c r="C45" s="68" t="s">
        <v>4</v>
      </c>
    </row>
    <row r="46" spans="1:4" x14ac:dyDescent="0.25">
      <c r="A46" s="37" t="s">
        <v>61</v>
      </c>
      <c r="B46" s="66">
        <f>(B39-(12-MONTH(B38)+1)-MONTH(B40))/12</f>
        <v>2</v>
      </c>
      <c r="C46" s="69"/>
    </row>
    <row r="47" spans="1:4" x14ac:dyDescent="0.25">
      <c r="A47" s="65"/>
      <c r="B47" s="65"/>
      <c r="C47" s="69"/>
    </row>
    <row r="48" spans="1:4" x14ac:dyDescent="0.25">
      <c r="A48" s="65"/>
      <c r="B48" s="65"/>
      <c r="C48" s="69"/>
    </row>
  </sheetData>
  <conditionalFormatting sqref="B44">
    <cfRule type="expression" dxfId="4" priority="5">
      <formula>ROUND(B44,3)=0</formula>
    </cfRule>
  </conditionalFormatting>
  <conditionalFormatting sqref="B29">
    <cfRule type="expression" dxfId="3" priority="4">
      <formula>ROUND(B29,3)=0</formula>
    </cfRule>
  </conditionalFormatting>
  <conditionalFormatting sqref="B14:B15">
    <cfRule type="expression" dxfId="2" priority="3">
      <formula>ROUND(B14,3)=0</formula>
    </cfRule>
  </conditionalFormatting>
  <conditionalFormatting sqref="B30">
    <cfRule type="expression" dxfId="1" priority="2">
      <formula>ROUND(B30,3)=0</formula>
    </cfRule>
  </conditionalFormatting>
  <conditionalFormatting sqref="B45:B46">
    <cfRule type="expression" dxfId="0" priority="1">
      <formula>ROUND(B45,3)=0</formula>
    </cfRule>
  </conditionalFormatting>
  <hyperlinks>
    <hyperlink ref="A1:E1" r:id="rId1" display="Файл скачан с сайта excel2.ru &gt;&gt;&gt;"/>
    <hyperlink ref="A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0"/>
  <sheetViews>
    <sheetView tabSelected="1" workbookViewId="0">
      <selection activeCell="F3" sqref="A1:F3"/>
    </sheetView>
  </sheetViews>
  <sheetFormatPr defaultRowHeight="15" x14ac:dyDescent="0.25"/>
  <cols>
    <col min="1" max="1" width="30.28515625" style="11" customWidth="1"/>
    <col min="2" max="2" width="14.140625" style="11" bestFit="1" customWidth="1"/>
    <col min="3" max="3" width="20.140625" style="11" bestFit="1" customWidth="1"/>
    <col min="4" max="4" width="16.85546875" style="11" bestFit="1" customWidth="1"/>
    <col min="5" max="5" width="13.85546875" style="11" bestFit="1" customWidth="1"/>
    <col min="6" max="6" width="14" style="11" bestFit="1" customWidth="1"/>
    <col min="7" max="7" width="5" style="11" bestFit="1" customWidth="1"/>
    <col min="8" max="8" width="4.85546875" style="11" customWidth="1"/>
    <col min="9" max="9" width="13.140625" style="11" customWidth="1"/>
    <col min="10" max="10" width="13.85546875" style="11" bestFit="1" customWidth="1"/>
    <col min="11" max="11" width="20.28515625" style="11" customWidth="1"/>
    <col min="12" max="12" width="18.42578125" style="11" customWidth="1"/>
    <col min="13" max="13" width="17.28515625" style="11" customWidth="1"/>
    <col min="14" max="14" width="21.85546875" style="11" customWidth="1"/>
    <col min="15" max="269" width="9.140625" style="11"/>
    <col min="270" max="270" width="10" style="11" customWidth="1"/>
    <col min="271" max="350" width="9.140625" style="11"/>
    <col min="351" max="351" width="8.5703125" style="11" customWidth="1"/>
    <col min="352" max="16384" width="9.140625" style="11"/>
  </cols>
  <sheetData>
    <row r="1" spans="1:12" ht="26.25" x14ac:dyDescent="0.25">
      <c r="A1" s="73" t="s">
        <v>79</v>
      </c>
      <c r="B1" s="73"/>
      <c r="C1" s="73"/>
      <c r="D1" s="73"/>
      <c r="E1" s="73"/>
      <c r="F1" s="73"/>
    </row>
    <row r="2" spans="1:12" ht="15.75" x14ac:dyDescent="0.25">
      <c r="A2" s="76" t="s">
        <v>80</v>
      </c>
      <c r="B2" s="74"/>
      <c r="C2" s="74"/>
      <c r="D2" s="74"/>
      <c r="E2" s="74"/>
      <c r="F2" s="74"/>
    </row>
    <row r="3" spans="1:12" ht="18.75" x14ac:dyDescent="0.25">
      <c r="A3" s="75" t="s">
        <v>81</v>
      </c>
      <c r="B3" s="75"/>
      <c r="C3" s="75"/>
      <c r="D3" s="75"/>
      <c r="E3" s="75"/>
      <c r="F3" s="75"/>
    </row>
    <row r="4" spans="1:12" x14ac:dyDescent="0.25">
      <c r="A4" s="6" t="s">
        <v>63</v>
      </c>
      <c r="B4" s="6"/>
      <c r="C4" s="1"/>
      <c r="D4" s="1"/>
    </row>
    <row r="5" spans="1:12" hidden="1" x14ac:dyDescent="0.25">
      <c r="A5" s="6"/>
      <c r="B5" s="6"/>
      <c r="C5" s="1"/>
      <c r="D5" s="1"/>
    </row>
    <row r="6" spans="1:12" x14ac:dyDescent="0.25">
      <c r="A6" s="7" t="s">
        <v>6</v>
      </c>
      <c r="B6" s="7" t="s">
        <v>3</v>
      </c>
      <c r="C6" s="7" t="s">
        <v>2</v>
      </c>
      <c r="I6" s="24"/>
      <c r="L6" s="12"/>
    </row>
    <row r="7" spans="1:12" x14ac:dyDescent="0.25">
      <c r="A7" s="8" t="s">
        <v>49</v>
      </c>
      <c r="B7" s="9">
        <v>390000</v>
      </c>
      <c r="C7" s="8" t="s">
        <v>4</v>
      </c>
      <c r="L7"/>
    </row>
    <row r="8" spans="1:12" x14ac:dyDescent="0.25">
      <c r="A8" s="8" t="s">
        <v>24</v>
      </c>
      <c r="B8" s="30">
        <v>27</v>
      </c>
      <c r="C8" s="8" t="s">
        <v>38</v>
      </c>
      <c r="L8"/>
    </row>
    <row r="9" spans="1:12" x14ac:dyDescent="0.25">
      <c r="A9" s="8" t="s">
        <v>51</v>
      </c>
      <c r="B9" s="60">
        <f>1/B8</f>
        <v>3.7037037037037035E-2</v>
      </c>
      <c r="C9" s="8" t="s">
        <v>52</v>
      </c>
      <c r="L9"/>
    </row>
    <row r="10" spans="1:12" ht="45" x14ac:dyDescent="0.25">
      <c r="A10" s="37" t="s">
        <v>27</v>
      </c>
      <c r="B10" s="36">
        <v>41363</v>
      </c>
    </row>
    <row r="11" spans="1:12" ht="30" x14ac:dyDescent="0.25">
      <c r="A11" s="37" t="s">
        <v>28</v>
      </c>
      <c r="B11" s="38">
        <f>EOMONTH(B10,0)+1</f>
        <v>41365</v>
      </c>
    </row>
    <row r="12" spans="1:12" ht="30" x14ac:dyDescent="0.25">
      <c r="A12" s="37" t="s">
        <v>50</v>
      </c>
      <c r="B12" s="38">
        <f>EOMONTH(B10,B8)</f>
        <v>42185</v>
      </c>
    </row>
    <row r="13" spans="1:12" x14ac:dyDescent="0.25">
      <c r="A13" s="37" t="s">
        <v>53</v>
      </c>
      <c r="B13" s="66">
        <f>B7/B8</f>
        <v>14444.444444444445</v>
      </c>
    </row>
    <row r="14" spans="1:12" x14ac:dyDescent="0.25">
      <c r="A14" s="65"/>
      <c r="B14" s="66">
        <f>B7*B9</f>
        <v>14444.444444444443</v>
      </c>
      <c r="C14" s="64" t="s">
        <v>57</v>
      </c>
    </row>
    <row r="15" spans="1:12" x14ac:dyDescent="0.25">
      <c r="A15" s="65"/>
      <c r="B15" s="66">
        <f>SLN(B7,,B8)</f>
        <v>14444.444444444445</v>
      </c>
      <c r="C15" s="64" t="s">
        <v>58</v>
      </c>
    </row>
    <row r="16" spans="1:12" x14ac:dyDescent="0.25">
      <c r="I16" s="59" t="s">
        <v>41</v>
      </c>
    </row>
    <row r="17" spans="1:10" ht="45" x14ac:dyDescent="0.25">
      <c r="A17" s="41" t="s">
        <v>40</v>
      </c>
      <c r="B17" s="41" t="s">
        <v>54</v>
      </c>
      <c r="C17" s="41" t="s">
        <v>56</v>
      </c>
      <c r="D17" s="47" t="s">
        <v>53</v>
      </c>
      <c r="E17" s="41" t="s">
        <v>55</v>
      </c>
      <c r="F17" s="41" t="s">
        <v>59</v>
      </c>
      <c r="G17" s="41" t="s">
        <v>35</v>
      </c>
      <c r="I17" s="63" t="s">
        <v>40</v>
      </c>
      <c r="J17" s="62" t="s">
        <v>9</v>
      </c>
    </row>
    <row r="18" spans="1:10" x14ac:dyDescent="0.25">
      <c r="A18" s="15">
        <v>1</v>
      </c>
      <c r="B18" s="61">
        <f>EOMONTH($B$10,A18)</f>
        <v>41394</v>
      </c>
      <c r="C18" s="55">
        <f>$B$7</f>
        <v>390000</v>
      </c>
      <c r="D18" s="43">
        <f t="shared" ref="D18:D44" si="0">$B$7*$B$9</f>
        <v>14444.444444444443</v>
      </c>
      <c r="E18" s="44">
        <f>C18-D18</f>
        <v>375555.55555555556</v>
      </c>
      <c r="F18" s="44">
        <f>SUM($D$17:D18)</f>
        <v>14444.444444444443</v>
      </c>
      <c r="G18" s="67">
        <f>YEAR(B18)</f>
        <v>2013</v>
      </c>
      <c r="I18" s="8">
        <f>INT((ROW()-ROW(I$17))/2)+1</f>
        <v>1</v>
      </c>
      <c r="J18" s="55">
        <f>J19</f>
        <v>375555.55555555556</v>
      </c>
    </row>
    <row r="19" spans="1:10" x14ac:dyDescent="0.25">
      <c r="A19" s="15">
        <v>2</v>
      </c>
      <c r="B19" s="61">
        <f t="shared" ref="B19:B44" si="1">EOMONTH($B$10,A19)</f>
        <v>41425</v>
      </c>
      <c r="C19" s="21">
        <f>E18</f>
        <v>375555.55555555556</v>
      </c>
      <c r="D19" s="43">
        <f t="shared" si="0"/>
        <v>14444.444444444443</v>
      </c>
      <c r="E19" s="44">
        <f t="shared" ref="E19:E44" si="2">C19-D19</f>
        <v>361111.11111111112</v>
      </c>
      <c r="F19" s="44">
        <f>SUM($D$17:D19)</f>
        <v>28888.888888888887</v>
      </c>
      <c r="G19" s="67">
        <f t="shared" ref="G19:G44" si="3">YEAR(B19)</f>
        <v>2013</v>
      </c>
      <c r="I19" s="8">
        <f t="shared" ref="I19:I70" si="4">INT((ROW()-ROW(I$17))/2)+1</f>
        <v>2</v>
      </c>
      <c r="J19" s="44">
        <f>INDEX($E$18:$E$44,I18)</f>
        <v>375555.55555555556</v>
      </c>
    </row>
    <row r="20" spans="1:10" x14ac:dyDescent="0.25">
      <c r="A20" s="15">
        <v>3</v>
      </c>
      <c r="B20" s="61">
        <f t="shared" si="1"/>
        <v>41455</v>
      </c>
      <c r="C20" s="21">
        <f t="shared" ref="C20:C44" si="5">E19</f>
        <v>361111.11111111112</v>
      </c>
      <c r="D20" s="43">
        <f t="shared" si="0"/>
        <v>14444.444444444443</v>
      </c>
      <c r="E20" s="44">
        <f t="shared" si="2"/>
        <v>346666.66666666669</v>
      </c>
      <c r="F20" s="44">
        <f>SUM($D$17:D20)</f>
        <v>43333.333333333328</v>
      </c>
      <c r="G20" s="67">
        <f t="shared" si="3"/>
        <v>2013</v>
      </c>
      <c r="I20" s="8">
        <f t="shared" si="4"/>
        <v>2</v>
      </c>
      <c r="J20" s="44">
        <f t="shared" ref="J20:J70" si="6">INDEX($E$18:$E$44,I19)</f>
        <v>361111.11111111112</v>
      </c>
    </row>
    <row r="21" spans="1:10" x14ac:dyDescent="0.25">
      <c r="A21" s="15">
        <v>4</v>
      </c>
      <c r="B21" s="61">
        <f t="shared" si="1"/>
        <v>41486</v>
      </c>
      <c r="C21" s="21">
        <f t="shared" si="5"/>
        <v>346666.66666666669</v>
      </c>
      <c r="D21" s="43">
        <f t="shared" si="0"/>
        <v>14444.444444444443</v>
      </c>
      <c r="E21" s="44">
        <f t="shared" si="2"/>
        <v>332222.22222222225</v>
      </c>
      <c r="F21" s="44">
        <f>SUM($D$17:D21)</f>
        <v>57777.777777777774</v>
      </c>
      <c r="G21" s="67">
        <f t="shared" si="3"/>
        <v>2013</v>
      </c>
      <c r="I21" s="8">
        <f t="shared" si="4"/>
        <v>3</v>
      </c>
      <c r="J21" s="44">
        <f t="shared" si="6"/>
        <v>361111.11111111112</v>
      </c>
    </row>
    <row r="22" spans="1:10" x14ac:dyDescent="0.25">
      <c r="A22" s="15">
        <v>5</v>
      </c>
      <c r="B22" s="61">
        <f t="shared" si="1"/>
        <v>41517</v>
      </c>
      <c r="C22" s="21">
        <f t="shared" si="5"/>
        <v>332222.22222222225</v>
      </c>
      <c r="D22" s="43">
        <f t="shared" si="0"/>
        <v>14444.444444444443</v>
      </c>
      <c r="E22" s="44">
        <f t="shared" si="2"/>
        <v>317777.77777777781</v>
      </c>
      <c r="F22" s="44">
        <f>SUM($D$17:D22)</f>
        <v>72222.222222222219</v>
      </c>
      <c r="G22" s="67">
        <f t="shared" si="3"/>
        <v>2013</v>
      </c>
      <c r="I22" s="8">
        <f t="shared" si="4"/>
        <v>3</v>
      </c>
      <c r="J22" s="44">
        <f t="shared" si="6"/>
        <v>346666.66666666669</v>
      </c>
    </row>
    <row r="23" spans="1:10" x14ac:dyDescent="0.25">
      <c r="A23" s="15">
        <v>6</v>
      </c>
      <c r="B23" s="61">
        <f t="shared" si="1"/>
        <v>41547</v>
      </c>
      <c r="C23" s="21">
        <f t="shared" si="5"/>
        <v>317777.77777777781</v>
      </c>
      <c r="D23" s="43">
        <f t="shared" si="0"/>
        <v>14444.444444444443</v>
      </c>
      <c r="E23" s="44">
        <f t="shared" si="2"/>
        <v>303333.33333333337</v>
      </c>
      <c r="F23" s="44">
        <f>SUM($D$17:D23)</f>
        <v>86666.666666666657</v>
      </c>
      <c r="G23" s="67">
        <f t="shared" si="3"/>
        <v>2013</v>
      </c>
      <c r="I23" s="8">
        <f t="shared" si="4"/>
        <v>4</v>
      </c>
      <c r="J23" s="44">
        <f t="shared" si="6"/>
        <v>346666.66666666669</v>
      </c>
    </row>
    <row r="24" spans="1:10" x14ac:dyDescent="0.25">
      <c r="A24" s="15">
        <v>7</v>
      </c>
      <c r="B24" s="61">
        <f t="shared" si="1"/>
        <v>41578</v>
      </c>
      <c r="C24" s="21">
        <f t="shared" si="5"/>
        <v>303333.33333333337</v>
      </c>
      <c r="D24" s="43">
        <f t="shared" si="0"/>
        <v>14444.444444444443</v>
      </c>
      <c r="E24" s="44">
        <f t="shared" si="2"/>
        <v>288888.88888888893</v>
      </c>
      <c r="F24" s="44">
        <f>SUM($D$17:D24)</f>
        <v>101111.11111111109</v>
      </c>
      <c r="G24" s="67">
        <f t="shared" si="3"/>
        <v>2013</v>
      </c>
      <c r="I24" s="8">
        <f t="shared" si="4"/>
        <v>4</v>
      </c>
      <c r="J24" s="44">
        <f t="shared" si="6"/>
        <v>332222.22222222225</v>
      </c>
    </row>
    <row r="25" spans="1:10" x14ac:dyDescent="0.25">
      <c r="A25" s="15">
        <v>8</v>
      </c>
      <c r="B25" s="61">
        <f t="shared" si="1"/>
        <v>41608</v>
      </c>
      <c r="C25" s="21">
        <f t="shared" si="5"/>
        <v>288888.88888888893</v>
      </c>
      <c r="D25" s="43">
        <f t="shared" si="0"/>
        <v>14444.444444444443</v>
      </c>
      <c r="E25" s="44">
        <f t="shared" si="2"/>
        <v>274444.4444444445</v>
      </c>
      <c r="F25" s="44">
        <f>SUM($D$17:D25)</f>
        <v>115555.55555555553</v>
      </c>
      <c r="G25" s="67">
        <f t="shared" si="3"/>
        <v>2013</v>
      </c>
      <c r="I25" s="8">
        <f t="shared" si="4"/>
        <v>5</v>
      </c>
      <c r="J25" s="44">
        <f t="shared" si="6"/>
        <v>332222.22222222225</v>
      </c>
    </row>
    <row r="26" spans="1:10" x14ac:dyDescent="0.25">
      <c r="A26" s="15">
        <v>9</v>
      </c>
      <c r="B26" s="61">
        <f t="shared" si="1"/>
        <v>41639</v>
      </c>
      <c r="C26" s="21">
        <f t="shared" si="5"/>
        <v>274444.4444444445</v>
      </c>
      <c r="D26" s="43">
        <f t="shared" si="0"/>
        <v>14444.444444444443</v>
      </c>
      <c r="E26" s="44">
        <f t="shared" si="2"/>
        <v>260000.00000000006</v>
      </c>
      <c r="F26" s="44">
        <f>SUM($D$17:D26)</f>
        <v>129999.99999999997</v>
      </c>
      <c r="G26" s="67">
        <f t="shared" si="3"/>
        <v>2013</v>
      </c>
      <c r="I26" s="8">
        <f t="shared" si="4"/>
        <v>5</v>
      </c>
      <c r="J26" s="44">
        <f t="shared" si="6"/>
        <v>317777.77777777781</v>
      </c>
    </row>
    <row r="27" spans="1:10" x14ac:dyDescent="0.25">
      <c r="A27" s="15">
        <v>10</v>
      </c>
      <c r="B27" s="61">
        <f t="shared" si="1"/>
        <v>41670</v>
      </c>
      <c r="C27" s="21">
        <f t="shared" si="5"/>
        <v>260000.00000000006</v>
      </c>
      <c r="D27" s="43">
        <f t="shared" si="0"/>
        <v>14444.444444444443</v>
      </c>
      <c r="E27" s="44">
        <f t="shared" si="2"/>
        <v>245555.55555555562</v>
      </c>
      <c r="F27" s="44">
        <f>SUM($D$17:D27)</f>
        <v>144444.44444444441</v>
      </c>
      <c r="G27" s="67">
        <f t="shared" si="3"/>
        <v>2014</v>
      </c>
      <c r="I27" s="8">
        <f t="shared" si="4"/>
        <v>6</v>
      </c>
      <c r="J27" s="44">
        <f t="shared" si="6"/>
        <v>317777.77777777781</v>
      </c>
    </row>
    <row r="28" spans="1:10" x14ac:dyDescent="0.25">
      <c r="A28" s="15">
        <v>11</v>
      </c>
      <c r="B28" s="61">
        <f t="shared" si="1"/>
        <v>41698</v>
      </c>
      <c r="C28" s="21">
        <f t="shared" si="5"/>
        <v>245555.55555555562</v>
      </c>
      <c r="D28" s="43">
        <f t="shared" si="0"/>
        <v>14444.444444444443</v>
      </c>
      <c r="E28" s="44">
        <f t="shared" si="2"/>
        <v>231111.11111111118</v>
      </c>
      <c r="F28" s="44">
        <f>SUM($D$17:D28)</f>
        <v>158888.88888888885</v>
      </c>
      <c r="G28" s="67">
        <f t="shared" si="3"/>
        <v>2014</v>
      </c>
      <c r="I28" s="8">
        <f t="shared" si="4"/>
        <v>6</v>
      </c>
      <c r="J28" s="44">
        <f t="shared" si="6"/>
        <v>303333.33333333337</v>
      </c>
    </row>
    <row r="29" spans="1:10" x14ac:dyDescent="0.25">
      <c r="A29" s="15">
        <v>12</v>
      </c>
      <c r="B29" s="61">
        <f t="shared" si="1"/>
        <v>41729</v>
      </c>
      <c r="C29" s="21">
        <f t="shared" si="5"/>
        <v>231111.11111111118</v>
      </c>
      <c r="D29" s="43">
        <f t="shared" si="0"/>
        <v>14444.444444444443</v>
      </c>
      <c r="E29" s="44">
        <f t="shared" si="2"/>
        <v>216666.66666666674</v>
      </c>
      <c r="F29" s="44">
        <f>SUM($D$17:D29)</f>
        <v>173333.33333333328</v>
      </c>
      <c r="G29" s="67">
        <f t="shared" si="3"/>
        <v>2014</v>
      </c>
      <c r="I29" s="8">
        <f t="shared" si="4"/>
        <v>7</v>
      </c>
      <c r="J29" s="44">
        <f t="shared" si="6"/>
        <v>303333.33333333337</v>
      </c>
    </row>
    <row r="30" spans="1:10" x14ac:dyDescent="0.25">
      <c r="A30" s="15">
        <v>13</v>
      </c>
      <c r="B30" s="61">
        <f t="shared" si="1"/>
        <v>41759</v>
      </c>
      <c r="C30" s="21">
        <f t="shared" si="5"/>
        <v>216666.66666666674</v>
      </c>
      <c r="D30" s="43">
        <f t="shared" si="0"/>
        <v>14444.444444444443</v>
      </c>
      <c r="E30" s="44">
        <f t="shared" si="2"/>
        <v>202222.22222222231</v>
      </c>
      <c r="F30" s="44">
        <f>SUM($D$17:D30)</f>
        <v>187777.77777777772</v>
      </c>
      <c r="G30" s="67">
        <f t="shared" si="3"/>
        <v>2014</v>
      </c>
      <c r="I30" s="8">
        <f t="shared" si="4"/>
        <v>7</v>
      </c>
      <c r="J30" s="44">
        <f t="shared" si="6"/>
        <v>288888.88888888893</v>
      </c>
    </row>
    <row r="31" spans="1:10" x14ac:dyDescent="0.25">
      <c r="A31" s="15">
        <v>14</v>
      </c>
      <c r="B31" s="61">
        <f t="shared" si="1"/>
        <v>41790</v>
      </c>
      <c r="C31" s="21">
        <f t="shared" si="5"/>
        <v>202222.22222222231</v>
      </c>
      <c r="D31" s="43">
        <f t="shared" si="0"/>
        <v>14444.444444444443</v>
      </c>
      <c r="E31" s="44">
        <f t="shared" si="2"/>
        <v>187777.77777777787</v>
      </c>
      <c r="F31" s="44">
        <f>SUM($D$17:D31)</f>
        <v>202222.22222222216</v>
      </c>
      <c r="G31" s="67">
        <f t="shared" si="3"/>
        <v>2014</v>
      </c>
      <c r="I31" s="8">
        <f t="shared" si="4"/>
        <v>8</v>
      </c>
      <c r="J31" s="44">
        <f t="shared" si="6"/>
        <v>288888.88888888893</v>
      </c>
    </row>
    <row r="32" spans="1:10" x14ac:dyDescent="0.25">
      <c r="A32" s="15">
        <v>15</v>
      </c>
      <c r="B32" s="61">
        <f t="shared" si="1"/>
        <v>41820</v>
      </c>
      <c r="C32" s="21">
        <f t="shared" si="5"/>
        <v>187777.77777777787</v>
      </c>
      <c r="D32" s="43">
        <f t="shared" si="0"/>
        <v>14444.444444444443</v>
      </c>
      <c r="E32" s="44">
        <f t="shared" si="2"/>
        <v>173333.33333333343</v>
      </c>
      <c r="F32" s="44">
        <f>SUM($D$17:D32)</f>
        <v>216666.6666666666</v>
      </c>
      <c r="G32" s="67">
        <f t="shared" si="3"/>
        <v>2014</v>
      </c>
      <c r="I32" s="8">
        <f t="shared" si="4"/>
        <v>8</v>
      </c>
      <c r="J32" s="44">
        <f t="shared" si="6"/>
        <v>274444.4444444445</v>
      </c>
    </row>
    <row r="33" spans="1:10" x14ac:dyDescent="0.25">
      <c r="A33" s="15">
        <v>16</v>
      </c>
      <c r="B33" s="61">
        <f t="shared" si="1"/>
        <v>41851</v>
      </c>
      <c r="C33" s="21">
        <f t="shared" si="5"/>
        <v>173333.33333333343</v>
      </c>
      <c r="D33" s="43">
        <f t="shared" si="0"/>
        <v>14444.444444444443</v>
      </c>
      <c r="E33" s="44">
        <f t="shared" si="2"/>
        <v>158888.88888888899</v>
      </c>
      <c r="F33" s="44">
        <f>SUM($D$17:D33)</f>
        <v>231111.11111111104</v>
      </c>
      <c r="G33" s="67">
        <f t="shared" si="3"/>
        <v>2014</v>
      </c>
      <c r="I33" s="8">
        <f t="shared" si="4"/>
        <v>9</v>
      </c>
      <c r="J33" s="44">
        <f t="shared" si="6"/>
        <v>274444.4444444445</v>
      </c>
    </row>
    <row r="34" spans="1:10" x14ac:dyDescent="0.25">
      <c r="A34" s="15">
        <v>17</v>
      </c>
      <c r="B34" s="61">
        <f t="shared" si="1"/>
        <v>41882</v>
      </c>
      <c r="C34" s="21">
        <f t="shared" si="5"/>
        <v>158888.88888888899</v>
      </c>
      <c r="D34" s="43">
        <f t="shared" si="0"/>
        <v>14444.444444444443</v>
      </c>
      <c r="E34" s="44">
        <f t="shared" si="2"/>
        <v>144444.44444444455</v>
      </c>
      <c r="F34" s="44">
        <f>SUM($D$17:D34)</f>
        <v>245555.55555555547</v>
      </c>
      <c r="G34" s="67">
        <f t="shared" si="3"/>
        <v>2014</v>
      </c>
      <c r="I34" s="8">
        <f t="shared" si="4"/>
        <v>9</v>
      </c>
      <c r="J34" s="44">
        <f t="shared" si="6"/>
        <v>260000.00000000006</v>
      </c>
    </row>
    <row r="35" spans="1:10" x14ac:dyDescent="0.25">
      <c r="A35" s="15">
        <v>18</v>
      </c>
      <c r="B35" s="61">
        <f t="shared" si="1"/>
        <v>41912</v>
      </c>
      <c r="C35" s="21">
        <f t="shared" si="5"/>
        <v>144444.44444444455</v>
      </c>
      <c r="D35" s="43">
        <f t="shared" si="0"/>
        <v>14444.444444444443</v>
      </c>
      <c r="E35" s="44">
        <f t="shared" si="2"/>
        <v>130000.00000000012</v>
      </c>
      <c r="F35" s="44">
        <f>SUM($D$17:D35)</f>
        <v>259999.99999999991</v>
      </c>
      <c r="G35" s="67">
        <f t="shared" si="3"/>
        <v>2014</v>
      </c>
      <c r="I35" s="8">
        <f t="shared" si="4"/>
        <v>10</v>
      </c>
      <c r="J35" s="44">
        <f t="shared" si="6"/>
        <v>260000.00000000006</v>
      </c>
    </row>
    <row r="36" spans="1:10" x14ac:dyDescent="0.25">
      <c r="A36" s="15">
        <v>19</v>
      </c>
      <c r="B36" s="61">
        <f t="shared" si="1"/>
        <v>41943</v>
      </c>
      <c r="C36" s="21">
        <f t="shared" si="5"/>
        <v>130000.00000000012</v>
      </c>
      <c r="D36" s="43">
        <f t="shared" si="0"/>
        <v>14444.444444444443</v>
      </c>
      <c r="E36" s="44">
        <f t="shared" si="2"/>
        <v>115555.55555555568</v>
      </c>
      <c r="F36" s="44">
        <f>SUM($D$17:D36)</f>
        <v>274444.44444444438</v>
      </c>
      <c r="G36" s="67">
        <f t="shared" si="3"/>
        <v>2014</v>
      </c>
      <c r="I36" s="8">
        <f t="shared" si="4"/>
        <v>10</v>
      </c>
      <c r="J36" s="44">
        <f t="shared" si="6"/>
        <v>245555.55555555562</v>
      </c>
    </row>
    <row r="37" spans="1:10" x14ac:dyDescent="0.25">
      <c r="A37" s="15">
        <v>20</v>
      </c>
      <c r="B37" s="61">
        <f t="shared" si="1"/>
        <v>41973</v>
      </c>
      <c r="C37" s="21">
        <f t="shared" si="5"/>
        <v>115555.55555555568</v>
      </c>
      <c r="D37" s="43">
        <f t="shared" si="0"/>
        <v>14444.444444444443</v>
      </c>
      <c r="E37" s="44">
        <f t="shared" si="2"/>
        <v>101111.11111111124</v>
      </c>
      <c r="F37" s="44">
        <f>SUM($D$17:D37)</f>
        <v>288888.88888888882</v>
      </c>
      <c r="G37" s="67">
        <f t="shared" si="3"/>
        <v>2014</v>
      </c>
      <c r="I37" s="8">
        <f t="shared" si="4"/>
        <v>11</v>
      </c>
      <c r="J37" s="44">
        <f t="shared" si="6"/>
        <v>245555.55555555562</v>
      </c>
    </row>
    <row r="38" spans="1:10" x14ac:dyDescent="0.25">
      <c r="A38" s="15">
        <v>21</v>
      </c>
      <c r="B38" s="61">
        <f t="shared" si="1"/>
        <v>42004</v>
      </c>
      <c r="C38" s="21">
        <f t="shared" si="5"/>
        <v>101111.11111111124</v>
      </c>
      <c r="D38" s="43">
        <f t="shared" si="0"/>
        <v>14444.444444444443</v>
      </c>
      <c r="E38" s="44">
        <f t="shared" si="2"/>
        <v>86666.666666666802</v>
      </c>
      <c r="F38" s="44">
        <f>SUM($D$17:D38)</f>
        <v>303333.33333333326</v>
      </c>
      <c r="G38" s="67">
        <f t="shared" si="3"/>
        <v>2014</v>
      </c>
      <c r="I38" s="8">
        <f t="shared" si="4"/>
        <v>11</v>
      </c>
      <c r="J38" s="44">
        <f t="shared" si="6"/>
        <v>231111.11111111118</v>
      </c>
    </row>
    <row r="39" spans="1:10" x14ac:dyDescent="0.25">
      <c r="A39" s="15">
        <v>22</v>
      </c>
      <c r="B39" s="61">
        <f t="shared" si="1"/>
        <v>42035</v>
      </c>
      <c r="C39" s="21">
        <f t="shared" si="5"/>
        <v>86666.666666666802</v>
      </c>
      <c r="D39" s="43">
        <f t="shared" si="0"/>
        <v>14444.444444444443</v>
      </c>
      <c r="E39" s="44">
        <f t="shared" si="2"/>
        <v>72222.222222222365</v>
      </c>
      <c r="F39" s="44">
        <f>SUM($D$17:D39)</f>
        <v>317777.77777777769</v>
      </c>
      <c r="G39" s="67">
        <f t="shared" si="3"/>
        <v>2015</v>
      </c>
      <c r="I39" s="8">
        <f t="shared" si="4"/>
        <v>12</v>
      </c>
      <c r="J39" s="44">
        <f t="shared" si="6"/>
        <v>231111.11111111118</v>
      </c>
    </row>
    <row r="40" spans="1:10" x14ac:dyDescent="0.25">
      <c r="A40" s="15">
        <v>23</v>
      </c>
      <c r="B40" s="61">
        <f t="shared" si="1"/>
        <v>42063</v>
      </c>
      <c r="C40" s="21">
        <f t="shared" si="5"/>
        <v>72222.222222222365</v>
      </c>
      <c r="D40" s="43">
        <f t="shared" si="0"/>
        <v>14444.444444444443</v>
      </c>
      <c r="E40" s="44">
        <f t="shared" si="2"/>
        <v>57777.777777777919</v>
      </c>
      <c r="F40" s="44">
        <f>SUM($D$17:D40)</f>
        <v>332222.22222222213</v>
      </c>
      <c r="G40" s="67">
        <f t="shared" si="3"/>
        <v>2015</v>
      </c>
      <c r="I40" s="8">
        <f t="shared" si="4"/>
        <v>12</v>
      </c>
      <c r="J40" s="44">
        <f t="shared" si="6"/>
        <v>216666.66666666674</v>
      </c>
    </row>
    <row r="41" spans="1:10" x14ac:dyDescent="0.25">
      <c r="A41" s="15">
        <v>24</v>
      </c>
      <c r="B41" s="61">
        <f t="shared" si="1"/>
        <v>42094</v>
      </c>
      <c r="C41" s="21">
        <f t="shared" si="5"/>
        <v>57777.777777777919</v>
      </c>
      <c r="D41" s="43">
        <f t="shared" si="0"/>
        <v>14444.444444444443</v>
      </c>
      <c r="E41" s="44">
        <f t="shared" si="2"/>
        <v>43333.333333333474</v>
      </c>
      <c r="F41" s="44">
        <f>SUM($D$17:D41)</f>
        <v>346666.66666666657</v>
      </c>
      <c r="G41" s="67">
        <f t="shared" si="3"/>
        <v>2015</v>
      </c>
      <c r="I41" s="8">
        <f t="shared" si="4"/>
        <v>13</v>
      </c>
      <c r="J41" s="44">
        <f t="shared" si="6"/>
        <v>216666.66666666674</v>
      </c>
    </row>
    <row r="42" spans="1:10" x14ac:dyDescent="0.25">
      <c r="A42" s="15">
        <v>25</v>
      </c>
      <c r="B42" s="61">
        <f t="shared" si="1"/>
        <v>42124</v>
      </c>
      <c r="C42" s="21">
        <f t="shared" si="5"/>
        <v>43333.333333333474</v>
      </c>
      <c r="D42" s="43">
        <f t="shared" si="0"/>
        <v>14444.444444444443</v>
      </c>
      <c r="E42" s="44">
        <f t="shared" si="2"/>
        <v>28888.888888889029</v>
      </c>
      <c r="F42" s="44">
        <f>SUM($D$17:D42)</f>
        <v>361111.11111111101</v>
      </c>
      <c r="G42" s="67">
        <f t="shared" si="3"/>
        <v>2015</v>
      </c>
      <c r="I42" s="8">
        <f t="shared" si="4"/>
        <v>13</v>
      </c>
      <c r="J42" s="44">
        <f t="shared" si="6"/>
        <v>202222.22222222231</v>
      </c>
    </row>
    <row r="43" spans="1:10" x14ac:dyDescent="0.25">
      <c r="A43" s="15">
        <v>26</v>
      </c>
      <c r="B43" s="61">
        <f t="shared" si="1"/>
        <v>42155</v>
      </c>
      <c r="C43" s="21">
        <f t="shared" si="5"/>
        <v>28888.888888889029</v>
      </c>
      <c r="D43" s="43">
        <f t="shared" si="0"/>
        <v>14444.444444444443</v>
      </c>
      <c r="E43" s="44">
        <f t="shared" si="2"/>
        <v>14444.444444444585</v>
      </c>
      <c r="F43" s="44">
        <f>SUM($D$17:D43)</f>
        <v>375555.55555555545</v>
      </c>
      <c r="G43" s="67">
        <f t="shared" si="3"/>
        <v>2015</v>
      </c>
      <c r="I43" s="8">
        <f t="shared" si="4"/>
        <v>14</v>
      </c>
      <c r="J43" s="44">
        <f t="shared" si="6"/>
        <v>202222.22222222231</v>
      </c>
    </row>
    <row r="44" spans="1:10" x14ac:dyDescent="0.25">
      <c r="A44" s="15">
        <v>27</v>
      </c>
      <c r="B44" s="61">
        <f t="shared" si="1"/>
        <v>42185</v>
      </c>
      <c r="C44" s="21">
        <f t="shared" si="5"/>
        <v>14444.444444444585</v>
      </c>
      <c r="D44" s="43">
        <f t="shared" si="0"/>
        <v>14444.444444444443</v>
      </c>
      <c r="E44" s="44">
        <f t="shared" si="2"/>
        <v>1.4188117347657681E-10</v>
      </c>
      <c r="F44" s="44">
        <f>SUM($D$17:D44)</f>
        <v>389999.99999999988</v>
      </c>
      <c r="G44" s="67">
        <f t="shared" si="3"/>
        <v>2015</v>
      </c>
      <c r="I44" s="8">
        <f t="shared" si="4"/>
        <v>14</v>
      </c>
      <c r="J44" s="44">
        <f t="shared" si="6"/>
        <v>187777.77777777787</v>
      </c>
    </row>
    <row r="45" spans="1:10" x14ac:dyDescent="0.25">
      <c r="D45" s="23">
        <f>SUM(D18:D44)</f>
        <v>389999.99999999988</v>
      </c>
      <c r="I45" s="8">
        <f t="shared" si="4"/>
        <v>15</v>
      </c>
      <c r="J45" s="44">
        <f t="shared" si="6"/>
        <v>187777.77777777787</v>
      </c>
    </row>
    <row r="46" spans="1:10" x14ac:dyDescent="0.25">
      <c r="I46" s="8">
        <f t="shared" si="4"/>
        <v>15</v>
      </c>
      <c r="J46" s="44">
        <f t="shared" si="6"/>
        <v>173333.33333333343</v>
      </c>
    </row>
    <row r="47" spans="1:10" x14ac:dyDescent="0.25">
      <c r="A47" s="20" t="s">
        <v>35</v>
      </c>
      <c r="B47" s="20" t="s">
        <v>60</v>
      </c>
      <c r="C47" s="15"/>
      <c r="I47" s="8">
        <f t="shared" si="4"/>
        <v>16</v>
      </c>
      <c r="J47" s="44">
        <f t="shared" si="6"/>
        <v>173333.33333333343</v>
      </c>
    </row>
    <row r="48" spans="1:10" x14ac:dyDescent="0.25">
      <c r="A48" s="15">
        <f>YEAR(B11)</f>
        <v>2013</v>
      </c>
      <c r="B48" s="21">
        <f>SUMIF($G$18:$G$44,A48,$D$18:$D$44)</f>
        <v>129999.99999999997</v>
      </c>
      <c r="C48" s="21">
        <f>B7/B8*(12-MONTH(B11)+1)</f>
        <v>130000</v>
      </c>
      <c r="I48" s="8">
        <f t="shared" si="4"/>
        <v>16</v>
      </c>
      <c r="J48" s="44">
        <f t="shared" si="6"/>
        <v>158888.88888888899</v>
      </c>
    </row>
    <row r="49" spans="1:10" x14ac:dyDescent="0.25">
      <c r="A49" s="15">
        <f>A48+1</f>
        <v>2014</v>
      </c>
      <c r="B49" s="21">
        <f t="shared" ref="B49:B50" si="7">SUMIF($G$18:$G$44,A49,$D$18:$D$44)</f>
        <v>173333.33333333328</v>
      </c>
      <c r="C49" s="21">
        <f>B7/B8*12</f>
        <v>173333.33333333334</v>
      </c>
      <c r="I49" s="8">
        <f t="shared" si="4"/>
        <v>17</v>
      </c>
      <c r="J49" s="44">
        <f t="shared" si="6"/>
        <v>158888.88888888899</v>
      </c>
    </row>
    <row r="50" spans="1:10" x14ac:dyDescent="0.25">
      <c r="A50" s="15">
        <f>A49+1</f>
        <v>2015</v>
      </c>
      <c r="B50" s="21">
        <f t="shared" si="7"/>
        <v>86666.666666666657</v>
      </c>
      <c r="C50" s="21">
        <f>B7/B8*MONTH(B12)</f>
        <v>86666.666666666672</v>
      </c>
      <c r="I50" s="8">
        <f t="shared" si="4"/>
        <v>17</v>
      </c>
      <c r="J50" s="44">
        <f t="shared" si="6"/>
        <v>144444.44444444455</v>
      </c>
    </row>
    <row r="51" spans="1:10" x14ac:dyDescent="0.25">
      <c r="B51" s="23">
        <f>SUM(B48:B50)</f>
        <v>389999.99999999988</v>
      </c>
      <c r="C51" s="23">
        <f>SUM(C48:C50)</f>
        <v>390000.00000000006</v>
      </c>
      <c r="I51" s="8">
        <f t="shared" si="4"/>
        <v>18</v>
      </c>
      <c r="J51" s="44">
        <f t="shared" si="6"/>
        <v>144444.44444444455</v>
      </c>
    </row>
    <row r="52" spans="1:10" x14ac:dyDescent="0.25">
      <c r="I52" s="8">
        <f t="shared" si="4"/>
        <v>18</v>
      </c>
      <c r="J52" s="44">
        <f t="shared" si="6"/>
        <v>130000.00000000012</v>
      </c>
    </row>
    <row r="53" spans="1:10" x14ac:dyDescent="0.25">
      <c r="I53" s="8">
        <f t="shared" si="4"/>
        <v>19</v>
      </c>
      <c r="J53" s="44">
        <f t="shared" si="6"/>
        <v>130000.00000000012</v>
      </c>
    </row>
    <row r="54" spans="1:10" x14ac:dyDescent="0.25">
      <c r="I54" s="8">
        <f t="shared" si="4"/>
        <v>19</v>
      </c>
      <c r="J54" s="44">
        <f t="shared" si="6"/>
        <v>115555.55555555568</v>
      </c>
    </row>
    <row r="55" spans="1:10" x14ac:dyDescent="0.25">
      <c r="I55" s="8">
        <f t="shared" si="4"/>
        <v>20</v>
      </c>
      <c r="J55" s="44">
        <f t="shared" si="6"/>
        <v>115555.55555555568</v>
      </c>
    </row>
    <row r="56" spans="1:10" x14ac:dyDescent="0.25">
      <c r="I56" s="8">
        <f t="shared" si="4"/>
        <v>20</v>
      </c>
      <c r="J56" s="44">
        <f t="shared" si="6"/>
        <v>101111.11111111124</v>
      </c>
    </row>
    <row r="57" spans="1:10" x14ac:dyDescent="0.25">
      <c r="I57" s="8">
        <f t="shared" si="4"/>
        <v>21</v>
      </c>
      <c r="J57" s="44">
        <f t="shared" si="6"/>
        <v>101111.11111111124</v>
      </c>
    </row>
    <row r="58" spans="1:10" x14ac:dyDescent="0.25">
      <c r="I58" s="8">
        <f t="shared" si="4"/>
        <v>21</v>
      </c>
      <c r="J58" s="44">
        <f t="shared" si="6"/>
        <v>86666.666666666802</v>
      </c>
    </row>
    <row r="59" spans="1:10" x14ac:dyDescent="0.25">
      <c r="I59" s="8">
        <f t="shared" si="4"/>
        <v>22</v>
      </c>
      <c r="J59" s="44">
        <f t="shared" si="6"/>
        <v>86666.666666666802</v>
      </c>
    </row>
    <row r="60" spans="1:10" x14ac:dyDescent="0.25">
      <c r="I60" s="8">
        <f t="shared" si="4"/>
        <v>22</v>
      </c>
      <c r="J60" s="44">
        <f t="shared" si="6"/>
        <v>72222.222222222365</v>
      </c>
    </row>
    <row r="61" spans="1:10" x14ac:dyDescent="0.25">
      <c r="I61" s="8">
        <f t="shared" si="4"/>
        <v>23</v>
      </c>
      <c r="J61" s="44">
        <f t="shared" si="6"/>
        <v>72222.222222222365</v>
      </c>
    </row>
    <row r="62" spans="1:10" x14ac:dyDescent="0.25">
      <c r="I62" s="8">
        <f t="shared" si="4"/>
        <v>23</v>
      </c>
      <c r="J62" s="44">
        <f t="shared" si="6"/>
        <v>57777.777777777919</v>
      </c>
    </row>
    <row r="63" spans="1:10" x14ac:dyDescent="0.25">
      <c r="I63" s="8">
        <f t="shared" si="4"/>
        <v>24</v>
      </c>
      <c r="J63" s="44">
        <f t="shared" si="6"/>
        <v>57777.777777777919</v>
      </c>
    </row>
    <row r="64" spans="1:10" x14ac:dyDescent="0.25">
      <c r="I64" s="8">
        <f t="shared" si="4"/>
        <v>24</v>
      </c>
      <c r="J64" s="44">
        <f t="shared" si="6"/>
        <v>43333.333333333474</v>
      </c>
    </row>
    <row r="65" spans="9:10" x14ac:dyDescent="0.25">
      <c r="I65" s="8">
        <f t="shared" si="4"/>
        <v>25</v>
      </c>
      <c r="J65" s="44">
        <f t="shared" si="6"/>
        <v>43333.333333333474</v>
      </c>
    </row>
    <row r="66" spans="9:10" x14ac:dyDescent="0.25">
      <c r="I66" s="8">
        <f t="shared" si="4"/>
        <v>25</v>
      </c>
      <c r="J66" s="44">
        <f t="shared" si="6"/>
        <v>28888.888888889029</v>
      </c>
    </row>
    <row r="67" spans="9:10" x14ac:dyDescent="0.25">
      <c r="I67" s="8">
        <f t="shared" si="4"/>
        <v>26</v>
      </c>
      <c r="J67" s="44">
        <f t="shared" si="6"/>
        <v>28888.888888889029</v>
      </c>
    </row>
    <row r="68" spans="9:10" x14ac:dyDescent="0.25">
      <c r="I68" s="8">
        <f t="shared" si="4"/>
        <v>26</v>
      </c>
      <c r="J68" s="44">
        <f t="shared" si="6"/>
        <v>14444.444444444585</v>
      </c>
    </row>
    <row r="69" spans="9:10" x14ac:dyDescent="0.25">
      <c r="I69" s="8">
        <f t="shared" si="4"/>
        <v>27</v>
      </c>
      <c r="J69" s="44">
        <f t="shared" si="6"/>
        <v>14444.444444444585</v>
      </c>
    </row>
    <row r="70" spans="9:10" x14ac:dyDescent="0.25">
      <c r="I70" s="8">
        <f t="shared" si="4"/>
        <v>27</v>
      </c>
      <c r="J70" s="44">
        <f t="shared" si="6"/>
        <v>1.4188117347657681E-10</v>
      </c>
    </row>
  </sheetData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77" t="s">
        <v>76</v>
      </c>
      <c r="B1" s="77"/>
      <c r="C1" s="77"/>
      <c r="D1" s="77"/>
      <c r="E1" s="77"/>
      <c r="F1" s="77"/>
      <c r="G1" s="77"/>
    </row>
    <row r="2" spans="1:7" ht="107.25" customHeight="1" x14ac:dyDescent="0.25">
      <c r="A2" s="72" t="s">
        <v>77</v>
      </c>
    </row>
    <row r="3" spans="1:7" ht="105" customHeight="1" x14ac:dyDescent="0.25">
      <c r="A3" s="72" t="s">
        <v>78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K139"/>
  <sheetViews>
    <sheetView workbookViewId="0">
      <selection activeCell="D11" sqref="D11"/>
    </sheetView>
  </sheetViews>
  <sheetFormatPr defaultRowHeight="15" x14ac:dyDescent="0.25"/>
  <cols>
    <col min="1" max="1" width="35.5703125" customWidth="1"/>
    <col min="2" max="2" width="16.7109375" customWidth="1"/>
    <col min="3" max="3" width="19" customWidth="1"/>
    <col min="4" max="4" width="21.5703125" bestFit="1" customWidth="1"/>
    <col min="5" max="5" width="15.140625" customWidth="1"/>
    <col min="6" max="6" width="7" bestFit="1" customWidth="1"/>
    <col min="7" max="7" width="18.5703125" customWidth="1"/>
    <col min="11" max="11" width="9.7109375" bestFit="1" customWidth="1"/>
  </cols>
  <sheetData>
    <row r="1" spans="1:5" x14ac:dyDescent="0.25">
      <c r="A1" s="28" t="s">
        <v>43</v>
      </c>
    </row>
    <row r="3" spans="1:5" x14ac:dyDescent="0.25">
      <c r="A3" s="7" t="s">
        <v>6</v>
      </c>
      <c r="B3" s="7" t="s">
        <v>3</v>
      </c>
      <c r="C3" s="7" t="s">
        <v>2</v>
      </c>
    </row>
    <row r="4" spans="1:5" ht="30" x14ac:dyDescent="0.25">
      <c r="A4" s="37" t="s">
        <v>23</v>
      </c>
      <c r="B4" s="9">
        <v>100000</v>
      </c>
      <c r="C4" s="8" t="s">
        <v>4</v>
      </c>
    </row>
    <row r="5" spans="1:5" x14ac:dyDescent="0.25">
      <c r="A5" s="37" t="s">
        <v>24</v>
      </c>
      <c r="B5" s="30">
        <v>5</v>
      </c>
      <c r="C5" s="8" t="s">
        <v>5</v>
      </c>
    </row>
    <row r="6" spans="1:5" x14ac:dyDescent="0.25">
      <c r="A6" s="37" t="s">
        <v>24</v>
      </c>
      <c r="B6" s="10">
        <f>B5*12</f>
        <v>60</v>
      </c>
      <c r="C6" s="8" t="s">
        <v>38</v>
      </c>
    </row>
    <row r="7" spans="1:5" x14ac:dyDescent="0.25">
      <c r="A7" s="8" t="s">
        <v>34</v>
      </c>
      <c r="B7" s="30">
        <v>2</v>
      </c>
      <c r="C7" s="8"/>
    </row>
    <row r="8" spans="1:5" x14ac:dyDescent="0.25">
      <c r="A8" s="37" t="s">
        <v>25</v>
      </c>
      <c r="B8" s="31">
        <f>100%/B5*B7</f>
        <v>0.4</v>
      </c>
      <c r="C8" s="8"/>
    </row>
    <row r="10" spans="1:5" ht="45" x14ac:dyDescent="0.25">
      <c r="A10" s="62" t="s">
        <v>35</v>
      </c>
      <c r="B10" s="62" t="s">
        <v>65</v>
      </c>
      <c r="C10" s="62" t="s">
        <v>66</v>
      </c>
      <c r="D10" s="62" t="s">
        <v>69</v>
      </c>
      <c r="E10" s="62" t="s">
        <v>73</v>
      </c>
    </row>
    <row r="11" spans="1:5" x14ac:dyDescent="0.25">
      <c r="A11" s="8">
        <v>1</v>
      </c>
      <c r="B11" s="43">
        <f>($B$4-SUM($D$10:D10))*$B$8</f>
        <v>40000</v>
      </c>
      <c r="C11" s="43">
        <f>B11/12</f>
        <v>3333.3333333333335</v>
      </c>
      <c r="D11" s="43">
        <f>DDB($B$4,,$B$5,A11,$B$7)</f>
        <v>40000</v>
      </c>
      <c r="E11" s="58">
        <f>VDB($B$4,,$B$5,A11-1,A11,$B$7,TRUE)</f>
        <v>40000</v>
      </c>
    </row>
    <row r="12" spans="1:5" x14ac:dyDescent="0.25">
      <c r="A12" s="8">
        <f>A11+1</f>
        <v>2</v>
      </c>
      <c r="B12" s="43">
        <f>($B$4-SUM($B$10:B11))*$B$8</f>
        <v>24000</v>
      </c>
      <c r="C12" s="43">
        <f t="shared" ref="C12:C15" si="0">B12/12</f>
        <v>2000</v>
      </c>
      <c r="D12" s="43">
        <f t="shared" ref="D12:D15" si="1">DDB($B$4,,$B$5,A12,$B$7)</f>
        <v>24000</v>
      </c>
      <c r="E12" s="58">
        <f t="shared" ref="E12:E15" si="2">VDB($B$4,,$B$5,A12-1,A12,$B$7,TRUE)</f>
        <v>24000</v>
      </c>
    </row>
    <row r="13" spans="1:5" x14ac:dyDescent="0.25">
      <c r="A13" s="8">
        <f t="shared" ref="A13:A15" si="3">A12+1</f>
        <v>3</v>
      </c>
      <c r="B13" s="43">
        <f>($B$4-SUM($B$10:B12))*$B$8</f>
        <v>14400</v>
      </c>
      <c r="C13" s="43">
        <f t="shared" si="0"/>
        <v>1200</v>
      </c>
      <c r="D13" s="43">
        <f t="shared" si="1"/>
        <v>14400</v>
      </c>
      <c r="E13" s="58">
        <f t="shared" si="2"/>
        <v>14400</v>
      </c>
    </row>
    <row r="14" spans="1:5" x14ac:dyDescent="0.25">
      <c r="A14" s="8">
        <f t="shared" si="3"/>
        <v>4</v>
      </c>
      <c r="B14" s="43">
        <f>($B$4-SUM($B$10:B13))*$B$8</f>
        <v>8640</v>
      </c>
      <c r="C14" s="43">
        <f t="shared" si="0"/>
        <v>720</v>
      </c>
      <c r="D14" s="43">
        <f t="shared" si="1"/>
        <v>8640</v>
      </c>
      <c r="E14" s="58">
        <f t="shared" si="2"/>
        <v>8640</v>
      </c>
    </row>
    <row r="15" spans="1:5" x14ac:dyDescent="0.25">
      <c r="A15" s="8">
        <f t="shared" si="3"/>
        <v>5</v>
      </c>
      <c r="B15" s="43">
        <f>($B$4-SUM($B$10:B14))*$B$8</f>
        <v>5184</v>
      </c>
      <c r="C15" s="43">
        <f t="shared" si="0"/>
        <v>432</v>
      </c>
      <c r="D15" s="43">
        <f t="shared" si="1"/>
        <v>5184</v>
      </c>
      <c r="E15" s="58">
        <f t="shared" si="2"/>
        <v>5184</v>
      </c>
    </row>
    <row r="16" spans="1:5" x14ac:dyDescent="0.25">
      <c r="A16" s="70" t="s">
        <v>64</v>
      </c>
      <c r="B16" s="54">
        <f>SUM(B11:B15)</f>
        <v>92224</v>
      </c>
      <c r="C16" s="13"/>
      <c r="D16" s="54">
        <f>SUM(D11:D15)</f>
        <v>92224</v>
      </c>
      <c r="E16" s="54">
        <f>SUM(E11:E15)</f>
        <v>92224</v>
      </c>
    </row>
    <row r="18" spans="1:11" x14ac:dyDescent="0.25">
      <c r="A18" s="53" t="s">
        <v>42</v>
      </c>
      <c r="F18" s="28" t="s">
        <v>41</v>
      </c>
    </row>
    <row r="19" spans="1:11" ht="45" x14ac:dyDescent="0.25">
      <c r="A19" s="52" t="s">
        <v>40</v>
      </c>
      <c r="B19" s="62" t="s">
        <v>56</v>
      </c>
      <c r="C19" s="62" t="s">
        <v>67</v>
      </c>
      <c r="D19" s="62" t="s">
        <v>55</v>
      </c>
      <c r="F19" s="7" t="s">
        <v>40</v>
      </c>
      <c r="G19" s="62" t="s">
        <v>55</v>
      </c>
    </row>
    <row r="20" spans="1:11" x14ac:dyDescent="0.25">
      <c r="A20" s="8">
        <v>1</v>
      </c>
      <c r="B20" s="55">
        <f>B4</f>
        <v>100000</v>
      </c>
      <c r="C20" s="44">
        <f>VLOOKUP(INT((A20-1)/12)+1,$A$11:$C$15,3,FALSE)</f>
        <v>3333.3333333333335</v>
      </c>
      <c r="D20" s="44">
        <f>B20-C20</f>
        <v>96666.666666666672</v>
      </c>
      <c r="F20" s="8">
        <f t="shared" ref="F20:F83" si="4">INT((ROW()-ROW(F$19))/2)+1</f>
        <v>1</v>
      </c>
      <c r="G20" s="55">
        <f>G21</f>
        <v>96666.666666666672</v>
      </c>
    </row>
    <row r="21" spans="1:11" x14ac:dyDescent="0.25">
      <c r="A21" s="8">
        <v>2</v>
      </c>
      <c r="B21" s="44">
        <f t="shared" ref="B21:B55" si="5">B20-C20</f>
        <v>96666.666666666672</v>
      </c>
      <c r="C21" s="44">
        <f t="shared" ref="C21:C71" si="6">VLOOKUP(INT((A21-1)/12)+1,$A$11:$C$15,3,FALSE)</f>
        <v>3333.3333333333335</v>
      </c>
      <c r="D21" s="44">
        <f t="shared" ref="D21:D55" si="7">B21-C21</f>
        <v>93333.333333333343</v>
      </c>
      <c r="F21" s="8">
        <f t="shared" si="4"/>
        <v>2</v>
      </c>
      <c r="G21" s="44">
        <f>INDEX(D$20:D$79,F20)</f>
        <v>96666.666666666672</v>
      </c>
    </row>
    <row r="22" spans="1:11" x14ac:dyDescent="0.25">
      <c r="A22" s="8">
        <v>3</v>
      </c>
      <c r="B22" s="44">
        <f t="shared" si="5"/>
        <v>93333.333333333343</v>
      </c>
      <c r="C22" s="44">
        <f t="shared" si="6"/>
        <v>3333.3333333333335</v>
      </c>
      <c r="D22" s="44">
        <f t="shared" si="7"/>
        <v>90000.000000000015</v>
      </c>
      <c r="F22" s="8">
        <f t="shared" si="4"/>
        <v>2</v>
      </c>
      <c r="G22" s="44">
        <f t="shared" ref="G22:G85" si="8">INDEX(D$20:D$79,F21)</f>
        <v>93333.333333333343</v>
      </c>
    </row>
    <row r="23" spans="1:11" x14ac:dyDescent="0.25">
      <c r="A23" s="8">
        <v>4</v>
      </c>
      <c r="B23" s="44">
        <f t="shared" si="5"/>
        <v>90000.000000000015</v>
      </c>
      <c r="C23" s="44">
        <f t="shared" si="6"/>
        <v>3333.3333333333335</v>
      </c>
      <c r="D23" s="44">
        <f t="shared" si="7"/>
        <v>86666.666666666686</v>
      </c>
      <c r="F23" s="8">
        <f t="shared" si="4"/>
        <v>3</v>
      </c>
      <c r="G23" s="44">
        <f t="shared" si="8"/>
        <v>93333.333333333343</v>
      </c>
      <c r="K23" s="79"/>
    </row>
    <row r="24" spans="1:11" x14ac:dyDescent="0.25">
      <c r="A24" s="8">
        <v>5</v>
      </c>
      <c r="B24" s="44">
        <f t="shared" si="5"/>
        <v>86666.666666666686</v>
      </c>
      <c r="C24" s="44">
        <f t="shared" si="6"/>
        <v>3333.3333333333335</v>
      </c>
      <c r="D24" s="44">
        <f t="shared" si="7"/>
        <v>83333.333333333358</v>
      </c>
      <c r="F24" s="8">
        <f t="shared" si="4"/>
        <v>3</v>
      </c>
      <c r="G24" s="44">
        <f t="shared" si="8"/>
        <v>90000.000000000015</v>
      </c>
    </row>
    <row r="25" spans="1:11" x14ac:dyDescent="0.25">
      <c r="A25" s="8">
        <v>6</v>
      </c>
      <c r="B25" s="44">
        <f t="shared" si="5"/>
        <v>83333.333333333358</v>
      </c>
      <c r="C25" s="44">
        <f t="shared" si="6"/>
        <v>3333.3333333333335</v>
      </c>
      <c r="D25" s="44">
        <f t="shared" si="7"/>
        <v>80000.000000000029</v>
      </c>
      <c r="F25" s="8">
        <f t="shared" si="4"/>
        <v>4</v>
      </c>
      <c r="G25" s="44">
        <f t="shared" si="8"/>
        <v>90000.000000000015</v>
      </c>
      <c r="K25" s="71"/>
    </row>
    <row r="26" spans="1:11" x14ac:dyDescent="0.25">
      <c r="A26" s="8">
        <v>7</v>
      </c>
      <c r="B26" s="44">
        <f t="shared" si="5"/>
        <v>80000.000000000029</v>
      </c>
      <c r="C26" s="44">
        <f t="shared" si="6"/>
        <v>3333.3333333333335</v>
      </c>
      <c r="D26" s="44">
        <f t="shared" si="7"/>
        <v>76666.666666666701</v>
      </c>
      <c r="F26" s="8">
        <f t="shared" si="4"/>
        <v>4</v>
      </c>
      <c r="G26" s="44">
        <f t="shared" si="8"/>
        <v>86666.666666666686</v>
      </c>
    </row>
    <row r="27" spans="1:11" x14ac:dyDescent="0.25">
      <c r="A27" s="8">
        <v>8</v>
      </c>
      <c r="B27" s="44">
        <f t="shared" si="5"/>
        <v>76666.666666666701</v>
      </c>
      <c r="C27" s="44">
        <f t="shared" si="6"/>
        <v>3333.3333333333335</v>
      </c>
      <c r="D27" s="44">
        <f t="shared" si="7"/>
        <v>73333.333333333372</v>
      </c>
      <c r="F27" s="8">
        <f t="shared" si="4"/>
        <v>5</v>
      </c>
      <c r="G27" s="44">
        <f t="shared" si="8"/>
        <v>86666.666666666686</v>
      </c>
    </row>
    <row r="28" spans="1:11" x14ac:dyDescent="0.25">
      <c r="A28" s="8">
        <v>9</v>
      </c>
      <c r="B28" s="44">
        <f t="shared" si="5"/>
        <v>73333.333333333372</v>
      </c>
      <c r="C28" s="44">
        <f t="shared" si="6"/>
        <v>3333.3333333333335</v>
      </c>
      <c r="D28" s="44">
        <f t="shared" si="7"/>
        <v>70000.000000000044</v>
      </c>
      <c r="F28" s="8">
        <f t="shared" si="4"/>
        <v>5</v>
      </c>
      <c r="G28" s="44">
        <f t="shared" si="8"/>
        <v>83333.333333333358</v>
      </c>
    </row>
    <row r="29" spans="1:11" x14ac:dyDescent="0.25">
      <c r="A29" s="8">
        <v>10</v>
      </c>
      <c r="B29" s="44">
        <f t="shared" si="5"/>
        <v>70000.000000000044</v>
      </c>
      <c r="C29" s="44">
        <f t="shared" si="6"/>
        <v>3333.3333333333335</v>
      </c>
      <c r="D29" s="44">
        <f t="shared" si="7"/>
        <v>66666.666666666715</v>
      </c>
      <c r="F29" s="8">
        <f t="shared" si="4"/>
        <v>6</v>
      </c>
      <c r="G29" s="44">
        <f t="shared" si="8"/>
        <v>83333.333333333358</v>
      </c>
    </row>
    <row r="30" spans="1:11" x14ac:dyDescent="0.25">
      <c r="A30" s="8">
        <v>11</v>
      </c>
      <c r="B30" s="44">
        <f t="shared" si="5"/>
        <v>66666.666666666715</v>
      </c>
      <c r="C30" s="44">
        <f t="shared" si="6"/>
        <v>3333.3333333333335</v>
      </c>
      <c r="D30" s="44">
        <f t="shared" si="7"/>
        <v>63333.333333333379</v>
      </c>
      <c r="F30" s="8">
        <f t="shared" si="4"/>
        <v>6</v>
      </c>
      <c r="G30" s="44">
        <f t="shared" si="8"/>
        <v>80000.000000000029</v>
      </c>
    </row>
    <row r="31" spans="1:11" x14ac:dyDescent="0.25">
      <c r="A31" s="8">
        <v>12</v>
      </c>
      <c r="B31" s="44">
        <f t="shared" si="5"/>
        <v>63333.333333333379</v>
      </c>
      <c r="C31" s="44">
        <f t="shared" si="6"/>
        <v>3333.3333333333335</v>
      </c>
      <c r="D31" s="44">
        <f t="shared" si="7"/>
        <v>60000.000000000044</v>
      </c>
      <c r="F31" s="8">
        <f t="shared" si="4"/>
        <v>7</v>
      </c>
      <c r="G31" s="44">
        <f t="shared" si="8"/>
        <v>80000.000000000029</v>
      </c>
    </row>
    <row r="32" spans="1:11" x14ac:dyDescent="0.25">
      <c r="A32" s="8">
        <v>13</v>
      </c>
      <c r="B32" s="44">
        <f t="shared" si="5"/>
        <v>60000.000000000044</v>
      </c>
      <c r="C32" s="44">
        <f t="shared" si="6"/>
        <v>2000</v>
      </c>
      <c r="D32" s="44">
        <f t="shared" si="7"/>
        <v>58000.000000000044</v>
      </c>
      <c r="F32" s="8">
        <f t="shared" si="4"/>
        <v>7</v>
      </c>
      <c r="G32" s="44">
        <f t="shared" si="8"/>
        <v>76666.666666666701</v>
      </c>
    </row>
    <row r="33" spans="1:7" x14ac:dyDescent="0.25">
      <c r="A33" s="8">
        <v>14</v>
      </c>
      <c r="B33" s="44">
        <f t="shared" si="5"/>
        <v>58000.000000000044</v>
      </c>
      <c r="C33" s="44">
        <f t="shared" si="6"/>
        <v>2000</v>
      </c>
      <c r="D33" s="44">
        <f t="shared" si="7"/>
        <v>56000.000000000044</v>
      </c>
      <c r="F33" s="8">
        <f t="shared" si="4"/>
        <v>8</v>
      </c>
      <c r="G33" s="44">
        <f t="shared" si="8"/>
        <v>76666.666666666701</v>
      </c>
    </row>
    <row r="34" spans="1:7" x14ac:dyDescent="0.25">
      <c r="A34" s="8">
        <v>15</v>
      </c>
      <c r="B34" s="44">
        <f t="shared" si="5"/>
        <v>56000.000000000044</v>
      </c>
      <c r="C34" s="44">
        <f t="shared" si="6"/>
        <v>2000</v>
      </c>
      <c r="D34" s="44">
        <f t="shared" si="7"/>
        <v>54000.000000000044</v>
      </c>
      <c r="F34" s="8">
        <f t="shared" si="4"/>
        <v>8</v>
      </c>
      <c r="G34" s="44">
        <f t="shared" si="8"/>
        <v>73333.333333333372</v>
      </c>
    </row>
    <row r="35" spans="1:7" x14ac:dyDescent="0.25">
      <c r="A35" s="8">
        <v>16</v>
      </c>
      <c r="B35" s="44">
        <f t="shared" si="5"/>
        <v>54000.000000000044</v>
      </c>
      <c r="C35" s="44">
        <f t="shared" si="6"/>
        <v>2000</v>
      </c>
      <c r="D35" s="44">
        <f t="shared" si="7"/>
        <v>52000.000000000044</v>
      </c>
      <c r="F35" s="8">
        <f t="shared" si="4"/>
        <v>9</v>
      </c>
      <c r="G35" s="44">
        <f t="shared" si="8"/>
        <v>73333.333333333372</v>
      </c>
    </row>
    <row r="36" spans="1:7" x14ac:dyDescent="0.25">
      <c r="A36" s="8">
        <v>17</v>
      </c>
      <c r="B36" s="44">
        <f t="shared" si="5"/>
        <v>52000.000000000044</v>
      </c>
      <c r="C36" s="44">
        <f t="shared" si="6"/>
        <v>2000</v>
      </c>
      <c r="D36" s="44">
        <f t="shared" si="7"/>
        <v>50000.000000000044</v>
      </c>
      <c r="F36" s="8">
        <f t="shared" si="4"/>
        <v>9</v>
      </c>
      <c r="G36" s="44">
        <f t="shared" si="8"/>
        <v>70000.000000000044</v>
      </c>
    </row>
    <row r="37" spans="1:7" x14ac:dyDescent="0.25">
      <c r="A37" s="8">
        <v>18</v>
      </c>
      <c r="B37" s="44">
        <f t="shared" si="5"/>
        <v>50000.000000000044</v>
      </c>
      <c r="C37" s="44">
        <f t="shared" si="6"/>
        <v>2000</v>
      </c>
      <c r="D37" s="44">
        <f t="shared" si="7"/>
        <v>48000.000000000044</v>
      </c>
      <c r="F37" s="8">
        <f t="shared" si="4"/>
        <v>10</v>
      </c>
      <c r="G37" s="44">
        <f t="shared" si="8"/>
        <v>70000.000000000044</v>
      </c>
    </row>
    <row r="38" spans="1:7" x14ac:dyDescent="0.25">
      <c r="A38" s="8">
        <v>19</v>
      </c>
      <c r="B38" s="44">
        <f t="shared" si="5"/>
        <v>48000.000000000044</v>
      </c>
      <c r="C38" s="44">
        <f t="shared" si="6"/>
        <v>2000</v>
      </c>
      <c r="D38" s="44">
        <f t="shared" si="7"/>
        <v>46000.000000000044</v>
      </c>
      <c r="F38" s="8">
        <f t="shared" si="4"/>
        <v>10</v>
      </c>
      <c r="G38" s="44">
        <f t="shared" si="8"/>
        <v>66666.666666666715</v>
      </c>
    </row>
    <row r="39" spans="1:7" x14ac:dyDescent="0.25">
      <c r="A39" s="8">
        <v>20</v>
      </c>
      <c r="B39" s="44">
        <f t="shared" si="5"/>
        <v>46000.000000000044</v>
      </c>
      <c r="C39" s="44">
        <f t="shared" si="6"/>
        <v>2000</v>
      </c>
      <c r="D39" s="44">
        <f t="shared" si="7"/>
        <v>44000.000000000044</v>
      </c>
      <c r="F39" s="8">
        <f t="shared" si="4"/>
        <v>11</v>
      </c>
      <c r="G39" s="44">
        <f t="shared" si="8"/>
        <v>66666.666666666715</v>
      </c>
    </row>
    <row r="40" spans="1:7" x14ac:dyDescent="0.25">
      <c r="A40" s="8">
        <v>21</v>
      </c>
      <c r="B40" s="44">
        <f t="shared" si="5"/>
        <v>44000.000000000044</v>
      </c>
      <c r="C40" s="44">
        <f t="shared" si="6"/>
        <v>2000</v>
      </c>
      <c r="D40" s="44">
        <f t="shared" si="7"/>
        <v>42000.000000000044</v>
      </c>
      <c r="F40" s="8">
        <f t="shared" si="4"/>
        <v>11</v>
      </c>
      <c r="G40" s="44">
        <f t="shared" si="8"/>
        <v>63333.333333333379</v>
      </c>
    </row>
    <row r="41" spans="1:7" x14ac:dyDescent="0.25">
      <c r="A41" s="8">
        <v>22</v>
      </c>
      <c r="B41" s="44">
        <f t="shared" si="5"/>
        <v>42000.000000000044</v>
      </c>
      <c r="C41" s="44">
        <f t="shared" si="6"/>
        <v>2000</v>
      </c>
      <c r="D41" s="44">
        <f t="shared" si="7"/>
        <v>40000.000000000044</v>
      </c>
      <c r="F41" s="8">
        <f t="shared" si="4"/>
        <v>12</v>
      </c>
      <c r="G41" s="44">
        <f t="shared" si="8"/>
        <v>63333.333333333379</v>
      </c>
    </row>
    <row r="42" spans="1:7" x14ac:dyDescent="0.25">
      <c r="A42" s="8">
        <v>23</v>
      </c>
      <c r="B42" s="44">
        <f t="shared" si="5"/>
        <v>40000.000000000044</v>
      </c>
      <c r="C42" s="44">
        <f t="shared" si="6"/>
        <v>2000</v>
      </c>
      <c r="D42" s="44">
        <f t="shared" si="7"/>
        <v>38000.000000000044</v>
      </c>
      <c r="F42" s="8">
        <f t="shared" si="4"/>
        <v>12</v>
      </c>
      <c r="G42" s="44">
        <f t="shared" si="8"/>
        <v>60000.000000000044</v>
      </c>
    </row>
    <row r="43" spans="1:7" x14ac:dyDescent="0.25">
      <c r="A43" s="8">
        <v>24</v>
      </c>
      <c r="B43" s="44">
        <f t="shared" si="5"/>
        <v>38000.000000000044</v>
      </c>
      <c r="C43" s="44">
        <f t="shared" si="6"/>
        <v>2000</v>
      </c>
      <c r="D43" s="44">
        <f t="shared" si="7"/>
        <v>36000.000000000044</v>
      </c>
      <c r="F43" s="8">
        <f t="shared" si="4"/>
        <v>13</v>
      </c>
      <c r="G43" s="44">
        <f t="shared" si="8"/>
        <v>60000.000000000044</v>
      </c>
    </row>
    <row r="44" spans="1:7" x14ac:dyDescent="0.25">
      <c r="A44" s="8">
        <v>25</v>
      </c>
      <c r="B44" s="44">
        <f t="shared" si="5"/>
        <v>36000.000000000044</v>
      </c>
      <c r="C44" s="44">
        <f t="shared" si="6"/>
        <v>1200</v>
      </c>
      <c r="D44" s="44">
        <f t="shared" si="7"/>
        <v>34800.000000000044</v>
      </c>
      <c r="F44" s="8">
        <f t="shared" si="4"/>
        <v>13</v>
      </c>
      <c r="G44" s="44">
        <f t="shared" si="8"/>
        <v>58000.000000000044</v>
      </c>
    </row>
    <row r="45" spans="1:7" x14ac:dyDescent="0.25">
      <c r="A45" s="8">
        <v>26</v>
      </c>
      <c r="B45" s="44">
        <f t="shared" si="5"/>
        <v>34800.000000000044</v>
      </c>
      <c r="C45" s="44">
        <f t="shared" si="6"/>
        <v>1200</v>
      </c>
      <c r="D45" s="44">
        <f t="shared" si="7"/>
        <v>33600.000000000044</v>
      </c>
      <c r="F45" s="8">
        <f t="shared" si="4"/>
        <v>14</v>
      </c>
      <c r="G45" s="44">
        <f t="shared" si="8"/>
        <v>58000.000000000044</v>
      </c>
    </row>
    <row r="46" spans="1:7" x14ac:dyDescent="0.25">
      <c r="A46" s="8">
        <v>27</v>
      </c>
      <c r="B46" s="44">
        <f t="shared" si="5"/>
        <v>33600.000000000044</v>
      </c>
      <c r="C46" s="44">
        <f t="shared" si="6"/>
        <v>1200</v>
      </c>
      <c r="D46" s="44">
        <f t="shared" si="7"/>
        <v>32400.000000000044</v>
      </c>
      <c r="F46" s="8">
        <f t="shared" si="4"/>
        <v>14</v>
      </c>
      <c r="G46" s="44">
        <f t="shared" si="8"/>
        <v>56000.000000000044</v>
      </c>
    </row>
    <row r="47" spans="1:7" x14ac:dyDescent="0.25">
      <c r="A47" s="8">
        <v>28</v>
      </c>
      <c r="B47" s="44">
        <f t="shared" si="5"/>
        <v>32400.000000000044</v>
      </c>
      <c r="C47" s="44">
        <f t="shared" si="6"/>
        <v>1200</v>
      </c>
      <c r="D47" s="44">
        <f t="shared" si="7"/>
        <v>31200.000000000044</v>
      </c>
      <c r="F47" s="8">
        <f t="shared" si="4"/>
        <v>15</v>
      </c>
      <c r="G47" s="44">
        <f t="shared" si="8"/>
        <v>56000.000000000044</v>
      </c>
    </row>
    <row r="48" spans="1:7" x14ac:dyDescent="0.25">
      <c r="A48" s="8">
        <v>29</v>
      </c>
      <c r="B48" s="44">
        <f t="shared" si="5"/>
        <v>31200.000000000044</v>
      </c>
      <c r="C48" s="44">
        <f t="shared" si="6"/>
        <v>1200</v>
      </c>
      <c r="D48" s="44">
        <f t="shared" si="7"/>
        <v>30000.000000000044</v>
      </c>
      <c r="F48" s="8">
        <f t="shared" si="4"/>
        <v>15</v>
      </c>
      <c r="G48" s="44">
        <f t="shared" si="8"/>
        <v>54000.000000000044</v>
      </c>
    </row>
    <row r="49" spans="1:7" x14ac:dyDescent="0.25">
      <c r="A49" s="8">
        <v>30</v>
      </c>
      <c r="B49" s="44">
        <f t="shared" si="5"/>
        <v>30000.000000000044</v>
      </c>
      <c r="C49" s="44">
        <f t="shared" si="6"/>
        <v>1200</v>
      </c>
      <c r="D49" s="44">
        <f t="shared" si="7"/>
        <v>28800.000000000044</v>
      </c>
      <c r="F49" s="8">
        <f t="shared" si="4"/>
        <v>16</v>
      </c>
      <c r="G49" s="44">
        <f t="shared" si="8"/>
        <v>54000.000000000044</v>
      </c>
    </row>
    <row r="50" spans="1:7" x14ac:dyDescent="0.25">
      <c r="A50" s="8">
        <v>31</v>
      </c>
      <c r="B50" s="44">
        <f t="shared" si="5"/>
        <v>28800.000000000044</v>
      </c>
      <c r="C50" s="44">
        <f t="shared" si="6"/>
        <v>1200</v>
      </c>
      <c r="D50" s="44">
        <f t="shared" si="7"/>
        <v>27600.000000000044</v>
      </c>
      <c r="F50" s="8">
        <f t="shared" si="4"/>
        <v>16</v>
      </c>
      <c r="G50" s="44">
        <f t="shared" si="8"/>
        <v>52000.000000000044</v>
      </c>
    </row>
    <row r="51" spans="1:7" x14ac:dyDescent="0.25">
      <c r="A51" s="8">
        <v>32</v>
      </c>
      <c r="B51" s="44">
        <f t="shared" si="5"/>
        <v>27600.000000000044</v>
      </c>
      <c r="C51" s="44">
        <f t="shared" si="6"/>
        <v>1200</v>
      </c>
      <c r="D51" s="44">
        <f t="shared" si="7"/>
        <v>26400.000000000044</v>
      </c>
      <c r="F51" s="8">
        <f t="shared" si="4"/>
        <v>17</v>
      </c>
      <c r="G51" s="44">
        <f t="shared" si="8"/>
        <v>52000.000000000044</v>
      </c>
    </row>
    <row r="52" spans="1:7" x14ac:dyDescent="0.25">
      <c r="A52" s="8">
        <v>33</v>
      </c>
      <c r="B52" s="44">
        <f t="shared" si="5"/>
        <v>26400.000000000044</v>
      </c>
      <c r="C52" s="44">
        <f t="shared" si="6"/>
        <v>1200</v>
      </c>
      <c r="D52" s="44">
        <f t="shared" si="7"/>
        <v>25200.000000000044</v>
      </c>
      <c r="F52" s="8">
        <f t="shared" si="4"/>
        <v>17</v>
      </c>
      <c r="G52" s="44">
        <f t="shared" si="8"/>
        <v>50000.000000000044</v>
      </c>
    </row>
    <row r="53" spans="1:7" x14ac:dyDescent="0.25">
      <c r="A53" s="8">
        <v>34</v>
      </c>
      <c r="B53" s="44">
        <f t="shared" si="5"/>
        <v>25200.000000000044</v>
      </c>
      <c r="C53" s="44">
        <f t="shared" si="6"/>
        <v>1200</v>
      </c>
      <c r="D53" s="44">
        <f t="shared" si="7"/>
        <v>24000.000000000044</v>
      </c>
      <c r="F53" s="8">
        <f t="shared" si="4"/>
        <v>18</v>
      </c>
      <c r="G53" s="44">
        <f t="shared" si="8"/>
        <v>50000.000000000044</v>
      </c>
    </row>
    <row r="54" spans="1:7" x14ac:dyDescent="0.25">
      <c r="A54" s="8">
        <v>35</v>
      </c>
      <c r="B54" s="44">
        <f t="shared" si="5"/>
        <v>24000.000000000044</v>
      </c>
      <c r="C54" s="44">
        <f t="shared" si="6"/>
        <v>1200</v>
      </c>
      <c r="D54" s="44">
        <f t="shared" si="7"/>
        <v>22800.000000000044</v>
      </c>
      <c r="F54" s="8">
        <f t="shared" si="4"/>
        <v>18</v>
      </c>
      <c r="G54" s="44">
        <f t="shared" si="8"/>
        <v>48000.000000000044</v>
      </c>
    </row>
    <row r="55" spans="1:7" x14ac:dyDescent="0.25">
      <c r="A55" s="8">
        <v>36</v>
      </c>
      <c r="B55" s="44">
        <f t="shared" si="5"/>
        <v>22800.000000000044</v>
      </c>
      <c r="C55" s="44">
        <f t="shared" si="6"/>
        <v>1200</v>
      </c>
      <c r="D55" s="44">
        <f t="shared" si="7"/>
        <v>21600.000000000044</v>
      </c>
      <c r="F55" s="8">
        <f t="shared" si="4"/>
        <v>19</v>
      </c>
      <c r="G55" s="44">
        <f t="shared" si="8"/>
        <v>48000.000000000044</v>
      </c>
    </row>
    <row r="56" spans="1:7" x14ac:dyDescent="0.25">
      <c r="A56" s="8">
        <v>37</v>
      </c>
      <c r="B56" s="44">
        <f t="shared" ref="B56:B69" si="9">B55-C55</f>
        <v>21600.000000000044</v>
      </c>
      <c r="C56" s="44">
        <f t="shared" si="6"/>
        <v>720</v>
      </c>
      <c r="D56" s="44">
        <f t="shared" ref="D56:D69" si="10">B56-C56</f>
        <v>20880.000000000044</v>
      </c>
      <c r="F56" s="8">
        <f t="shared" si="4"/>
        <v>19</v>
      </c>
      <c r="G56" s="44">
        <f t="shared" si="8"/>
        <v>46000.000000000044</v>
      </c>
    </row>
    <row r="57" spans="1:7" x14ac:dyDescent="0.25">
      <c r="A57" s="8">
        <v>38</v>
      </c>
      <c r="B57" s="44">
        <f t="shared" si="9"/>
        <v>20880.000000000044</v>
      </c>
      <c r="C57" s="44">
        <f t="shared" si="6"/>
        <v>720</v>
      </c>
      <c r="D57" s="44">
        <f t="shared" si="10"/>
        <v>20160.000000000044</v>
      </c>
      <c r="F57" s="8">
        <f t="shared" si="4"/>
        <v>20</v>
      </c>
      <c r="G57" s="44">
        <f t="shared" si="8"/>
        <v>46000.000000000044</v>
      </c>
    </row>
    <row r="58" spans="1:7" x14ac:dyDescent="0.25">
      <c r="A58" s="8">
        <v>39</v>
      </c>
      <c r="B58" s="44">
        <f t="shared" si="9"/>
        <v>20160.000000000044</v>
      </c>
      <c r="C58" s="44">
        <f t="shared" si="6"/>
        <v>720</v>
      </c>
      <c r="D58" s="44">
        <f t="shared" si="10"/>
        <v>19440.000000000044</v>
      </c>
      <c r="F58" s="8">
        <f t="shared" si="4"/>
        <v>20</v>
      </c>
      <c r="G58" s="44">
        <f t="shared" si="8"/>
        <v>44000.000000000044</v>
      </c>
    </row>
    <row r="59" spans="1:7" x14ac:dyDescent="0.25">
      <c r="A59" s="8">
        <v>40</v>
      </c>
      <c r="B59" s="44">
        <f t="shared" si="9"/>
        <v>19440.000000000044</v>
      </c>
      <c r="C59" s="44">
        <f t="shared" si="6"/>
        <v>720</v>
      </c>
      <c r="D59" s="44">
        <f t="shared" si="10"/>
        <v>18720.000000000044</v>
      </c>
      <c r="F59" s="8">
        <f t="shared" si="4"/>
        <v>21</v>
      </c>
      <c r="G59" s="44">
        <f t="shared" si="8"/>
        <v>44000.000000000044</v>
      </c>
    </row>
    <row r="60" spans="1:7" x14ac:dyDescent="0.25">
      <c r="A60" s="8">
        <v>41</v>
      </c>
      <c r="B60" s="44">
        <f t="shared" si="9"/>
        <v>18720.000000000044</v>
      </c>
      <c r="C60" s="44">
        <f t="shared" si="6"/>
        <v>720</v>
      </c>
      <c r="D60" s="44">
        <f t="shared" si="10"/>
        <v>18000.000000000044</v>
      </c>
      <c r="F60" s="8">
        <f t="shared" si="4"/>
        <v>21</v>
      </c>
      <c r="G60" s="44">
        <f t="shared" si="8"/>
        <v>42000.000000000044</v>
      </c>
    </row>
    <row r="61" spans="1:7" x14ac:dyDescent="0.25">
      <c r="A61" s="8">
        <v>42</v>
      </c>
      <c r="B61" s="44">
        <f t="shared" si="9"/>
        <v>18000.000000000044</v>
      </c>
      <c r="C61" s="44">
        <f t="shared" si="6"/>
        <v>720</v>
      </c>
      <c r="D61" s="44">
        <f t="shared" si="10"/>
        <v>17280.000000000044</v>
      </c>
      <c r="F61" s="8">
        <f t="shared" si="4"/>
        <v>22</v>
      </c>
      <c r="G61" s="44">
        <f t="shared" si="8"/>
        <v>42000.000000000044</v>
      </c>
    </row>
    <row r="62" spans="1:7" x14ac:dyDescent="0.25">
      <c r="A62" s="8">
        <v>43</v>
      </c>
      <c r="B62" s="44">
        <f t="shared" si="9"/>
        <v>17280.000000000044</v>
      </c>
      <c r="C62" s="44">
        <f t="shared" si="6"/>
        <v>720</v>
      </c>
      <c r="D62" s="44">
        <f t="shared" si="10"/>
        <v>16560.000000000044</v>
      </c>
      <c r="F62" s="8">
        <f t="shared" si="4"/>
        <v>22</v>
      </c>
      <c r="G62" s="44">
        <f t="shared" si="8"/>
        <v>40000.000000000044</v>
      </c>
    </row>
    <row r="63" spans="1:7" x14ac:dyDescent="0.25">
      <c r="A63" s="8">
        <v>44</v>
      </c>
      <c r="B63" s="44">
        <f t="shared" si="9"/>
        <v>16560.000000000044</v>
      </c>
      <c r="C63" s="44">
        <f t="shared" si="6"/>
        <v>720</v>
      </c>
      <c r="D63" s="44">
        <f t="shared" si="10"/>
        <v>15840.000000000044</v>
      </c>
      <c r="F63" s="8">
        <f t="shared" si="4"/>
        <v>23</v>
      </c>
      <c r="G63" s="44">
        <f t="shared" si="8"/>
        <v>40000.000000000044</v>
      </c>
    </row>
    <row r="64" spans="1:7" x14ac:dyDescent="0.25">
      <c r="A64" s="8">
        <v>45</v>
      </c>
      <c r="B64" s="44">
        <f t="shared" si="9"/>
        <v>15840.000000000044</v>
      </c>
      <c r="C64" s="44">
        <f t="shared" si="6"/>
        <v>720</v>
      </c>
      <c r="D64" s="44">
        <f t="shared" si="10"/>
        <v>15120.000000000044</v>
      </c>
      <c r="F64" s="8">
        <f t="shared" si="4"/>
        <v>23</v>
      </c>
      <c r="G64" s="44">
        <f t="shared" si="8"/>
        <v>38000.000000000044</v>
      </c>
    </row>
    <row r="65" spans="1:7" x14ac:dyDescent="0.25">
      <c r="A65" s="8">
        <v>46</v>
      </c>
      <c r="B65" s="44">
        <f t="shared" si="9"/>
        <v>15120.000000000044</v>
      </c>
      <c r="C65" s="44">
        <f t="shared" si="6"/>
        <v>720</v>
      </c>
      <c r="D65" s="44">
        <f t="shared" si="10"/>
        <v>14400.000000000044</v>
      </c>
      <c r="F65" s="8">
        <f t="shared" si="4"/>
        <v>24</v>
      </c>
      <c r="G65" s="44">
        <f t="shared" si="8"/>
        <v>38000.000000000044</v>
      </c>
    </row>
    <row r="66" spans="1:7" x14ac:dyDescent="0.25">
      <c r="A66" s="8">
        <v>47</v>
      </c>
      <c r="B66" s="44">
        <f t="shared" si="9"/>
        <v>14400.000000000044</v>
      </c>
      <c r="C66" s="44">
        <f t="shared" si="6"/>
        <v>720</v>
      </c>
      <c r="D66" s="44">
        <f t="shared" si="10"/>
        <v>13680.000000000044</v>
      </c>
      <c r="F66" s="8">
        <f t="shared" si="4"/>
        <v>24</v>
      </c>
      <c r="G66" s="44">
        <f t="shared" si="8"/>
        <v>36000.000000000044</v>
      </c>
    </row>
    <row r="67" spans="1:7" x14ac:dyDescent="0.25">
      <c r="A67" s="8">
        <v>48</v>
      </c>
      <c r="B67" s="44">
        <f t="shared" si="9"/>
        <v>13680.000000000044</v>
      </c>
      <c r="C67" s="44">
        <f t="shared" si="6"/>
        <v>720</v>
      </c>
      <c r="D67" s="44">
        <f t="shared" si="10"/>
        <v>12960.000000000044</v>
      </c>
      <c r="F67" s="8">
        <f t="shared" si="4"/>
        <v>25</v>
      </c>
      <c r="G67" s="44">
        <f t="shared" si="8"/>
        <v>36000.000000000044</v>
      </c>
    </row>
    <row r="68" spans="1:7" x14ac:dyDescent="0.25">
      <c r="A68" s="8">
        <v>49</v>
      </c>
      <c r="B68" s="44">
        <f t="shared" si="9"/>
        <v>12960.000000000044</v>
      </c>
      <c r="C68" s="44">
        <f t="shared" si="6"/>
        <v>432</v>
      </c>
      <c r="D68" s="44">
        <f t="shared" si="10"/>
        <v>12528.000000000044</v>
      </c>
      <c r="F68" s="8">
        <f t="shared" si="4"/>
        <v>25</v>
      </c>
      <c r="G68" s="44">
        <f t="shared" si="8"/>
        <v>34800.000000000044</v>
      </c>
    </row>
    <row r="69" spans="1:7" x14ac:dyDescent="0.25">
      <c r="A69" s="8">
        <v>50</v>
      </c>
      <c r="B69" s="44">
        <f t="shared" si="9"/>
        <v>12528.000000000044</v>
      </c>
      <c r="C69" s="44">
        <f t="shared" si="6"/>
        <v>432</v>
      </c>
      <c r="D69" s="44">
        <f t="shared" si="10"/>
        <v>12096.000000000044</v>
      </c>
      <c r="F69" s="8">
        <f t="shared" si="4"/>
        <v>26</v>
      </c>
      <c r="G69" s="44">
        <f t="shared" si="8"/>
        <v>34800.000000000044</v>
      </c>
    </row>
    <row r="70" spans="1:7" x14ac:dyDescent="0.25">
      <c r="A70" s="8">
        <v>51</v>
      </c>
      <c r="B70" s="44">
        <f t="shared" ref="B70:B71" si="11">B69-C69</f>
        <v>12096.000000000044</v>
      </c>
      <c r="C70" s="44">
        <f t="shared" si="6"/>
        <v>432</v>
      </c>
      <c r="D70" s="44">
        <f t="shared" ref="D70:D71" si="12">B70-C70</f>
        <v>11664.000000000044</v>
      </c>
      <c r="F70" s="8">
        <f t="shared" si="4"/>
        <v>26</v>
      </c>
      <c r="G70" s="44">
        <f t="shared" si="8"/>
        <v>33600.000000000044</v>
      </c>
    </row>
    <row r="71" spans="1:7" x14ac:dyDescent="0.25">
      <c r="A71" s="8">
        <v>52</v>
      </c>
      <c r="B71" s="44">
        <f t="shared" si="11"/>
        <v>11664.000000000044</v>
      </c>
      <c r="C71" s="44">
        <f t="shared" si="6"/>
        <v>432</v>
      </c>
      <c r="D71" s="44">
        <f t="shared" si="12"/>
        <v>11232.000000000044</v>
      </c>
      <c r="F71" s="8">
        <f t="shared" si="4"/>
        <v>27</v>
      </c>
      <c r="G71" s="44">
        <f t="shared" si="8"/>
        <v>33600.000000000044</v>
      </c>
    </row>
    <row r="72" spans="1:7" x14ac:dyDescent="0.25">
      <c r="A72" s="8">
        <v>53</v>
      </c>
      <c r="B72" s="44">
        <f t="shared" ref="B72:B79" si="13">B71-C71</f>
        <v>11232.000000000044</v>
      </c>
      <c r="C72" s="44">
        <f t="shared" ref="C72:C79" si="14">VLOOKUP(INT((A72-1)/12)+1,$A$11:$C$15,3,FALSE)</f>
        <v>432</v>
      </c>
      <c r="D72" s="44">
        <f t="shared" ref="D72:D79" si="15">B72-C72</f>
        <v>10800.000000000044</v>
      </c>
      <c r="F72" s="8">
        <f t="shared" si="4"/>
        <v>27</v>
      </c>
      <c r="G72" s="44">
        <f t="shared" si="8"/>
        <v>32400.000000000044</v>
      </c>
    </row>
    <row r="73" spans="1:7" x14ac:dyDescent="0.25">
      <c r="A73" s="8">
        <v>54</v>
      </c>
      <c r="B73" s="44">
        <f t="shared" si="13"/>
        <v>10800.000000000044</v>
      </c>
      <c r="C73" s="44">
        <f t="shared" si="14"/>
        <v>432</v>
      </c>
      <c r="D73" s="44">
        <f t="shared" si="15"/>
        <v>10368.000000000044</v>
      </c>
      <c r="F73" s="8">
        <f t="shared" si="4"/>
        <v>28</v>
      </c>
      <c r="G73" s="44">
        <f t="shared" si="8"/>
        <v>32400.000000000044</v>
      </c>
    </row>
    <row r="74" spans="1:7" x14ac:dyDescent="0.25">
      <c r="A74" s="8">
        <v>55</v>
      </c>
      <c r="B74" s="44">
        <f t="shared" si="13"/>
        <v>10368.000000000044</v>
      </c>
      <c r="C74" s="44">
        <f t="shared" si="14"/>
        <v>432</v>
      </c>
      <c r="D74" s="44">
        <f t="shared" si="15"/>
        <v>9936.0000000000437</v>
      </c>
      <c r="F74" s="8">
        <f t="shared" si="4"/>
        <v>28</v>
      </c>
      <c r="G74" s="44">
        <f t="shared" si="8"/>
        <v>31200.000000000044</v>
      </c>
    </row>
    <row r="75" spans="1:7" x14ac:dyDescent="0.25">
      <c r="A75" s="8">
        <v>56</v>
      </c>
      <c r="B75" s="44">
        <f t="shared" si="13"/>
        <v>9936.0000000000437</v>
      </c>
      <c r="C75" s="44">
        <f t="shared" si="14"/>
        <v>432</v>
      </c>
      <c r="D75" s="44">
        <f t="shared" si="15"/>
        <v>9504.0000000000437</v>
      </c>
      <c r="F75" s="8">
        <f t="shared" si="4"/>
        <v>29</v>
      </c>
      <c r="G75" s="44">
        <f t="shared" si="8"/>
        <v>31200.000000000044</v>
      </c>
    </row>
    <row r="76" spans="1:7" x14ac:dyDescent="0.25">
      <c r="A76" s="8">
        <v>57</v>
      </c>
      <c r="B76" s="44">
        <f t="shared" si="13"/>
        <v>9504.0000000000437</v>
      </c>
      <c r="C76" s="44">
        <f t="shared" si="14"/>
        <v>432</v>
      </c>
      <c r="D76" s="44">
        <f t="shared" si="15"/>
        <v>9072.0000000000437</v>
      </c>
      <c r="F76" s="8">
        <f t="shared" si="4"/>
        <v>29</v>
      </c>
      <c r="G76" s="44">
        <f t="shared" si="8"/>
        <v>30000.000000000044</v>
      </c>
    </row>
    <row r="77" spans="1:7" x14ac:dyDescent="0.25">
      <c r="A77" s="8">
        <v>58</v>
      </c>
      <c r="B77" s="44">
        <f t="shared" si="13"/>
        <v>9072.0000000000437</v>
      </c>
      <c r="C77" s="44">
        <f t="shared" si="14"/>
        <v>432</v>
      </c>
      <c r="D77" s="44">
        <f t="shared" si="15"/>
        <v>8640.0000000000437</v>
      </c>
      <c r="F77" s="8">
        <f t="shared" si="4"/>
        <v>30</v>
      </c>
      <c r="G77" s="44">
        <f t="shared" si="8"/>
        <v>30000.000000000044</v>
      </c>
    </row>
    <row r="78" spans="1:7" x14ac:dyDescent="0.25">
      <c r="A78" s="8">
        <v>59</v>
      </c>
      <c r="B78" s="44">
        <f t="shared" si="13"/>
        <v>8640.0000000000437</v>
      </c>
      <c r="C78" s="44">
        <f t="shared" si="14"/>
        <v>432</v>
      </c>
      <c r="D78" s="44">
        <f t="shared" si="15"/>
        <v>8208.0000000000437</v>
      </c>
      <c r="F78" s="8">
        <f t="shared" si="4"/>
        <v>30</v>
      </c>
      <c r="G78" s="44">
        <f t="shared" si="8"/>
        <v>28800.000000000044</v>
      </c>
    </row>
    <row r="79" spans="1:7" x14ac:dyDescent="0.25">
      <c r="A79" s="8">
        <v>60</v>
      </c>
      <c r="B79" s="44">
        <f t="shared" si="13"/>
        <v>8208.0000000000437</v>
      </c>
      <c r="C79" s="44">
        <f t="shared" si="14"/>
        <v>432</v>
      </c>
      <c r="D79" s="44">
        <f t="shared" si="15"/>
        <v>7776.0000000000437</v>
      </c>
      <c r="F79" s="8">
        <f t="shared" si="4"/>
        <v>31</v>
      </c>
      <c r="G79" s="44">
        <f t="shared" si="8"/>
        <v>28800.000000000044</v>
      </c>
    </row>
    <row r="80" spans="1:7" x14ac:dyDescent="0.25">
      <c r="D80" s="42"/>
      <c r="F80" s="8">
        <f t="shared" si="4"/>
        <v>31</v>
      </c>
      <c r="G80" s="44">
        <f t="shared" si="8"/>
        <v>27600.000000000044</v>
      </c>
    </row>
    <row r="81" spans="4:7" x14ac:dyDescent="0.25">
      <c r="D81" s="42"/>
      <c r="F81" s="8">
        <f t="shared" si="4"/>
        <v>32</v>
      </c>
      <c r="G81" s="44">
        <f t="shared" si="8"/>
        <v>27600.000000000044</v>
      </c>
    </row>
    <row r="82" spans="4:7" x14ac:dyDescent="0.25">
      <c r="D82" s="42"/>
      <c r="F82" s="8">
        <f t="shared" si="4"/>
        <v>32</v>
      </c>
      <c r="G82" s="44">
        <f t="shared" si="8"/>
        <v>26400.000000000044</v>
      </c>
    </row>
    <row r="83" spans="4:7" x14ac:dyDescent="0.25">
      <c r="D83" s="42"/>
      <c r="F83" s="8">
        <f t="shared" si="4"/>
        <v>33</v>
      </c>
      <c r="G83" s="44">
        <f t="shared" si="8"/>
        <v>26400.000000000044</v>
      </c>
    </row>
    <row r="84" spans="4:7" x14ac:dyDescent="0.25">
      <c r="D84" s="42"/>
      <c r="F84" s="8">
        <f t="shared" ref="F84:F139" si="16">INT((ROW()-ROW(F$19))/2)+1</f>
        <v>33</v>
      </c>
      <c r="G84" s="44">
        <f t="shared" si="8"/>
        <v>25200.000000000044</v>
      </c>
    </row>
    <row r="85" spans="4:7" x14ac:dyDescent="0.25">
      <c r="D85" s="42"/>
      <c r="F85" s="8">
        <f t="shared" si="16"/>
        <v>34</v>
      </c>
      <c r="G85" s="44">
        <f t="shared" si="8"/>
        <v>25200.000000000044</v>
      </c>
    </row>
    <row r="86" spans="4:7" x14ac:dyDescent="0.25">
      <c r="D86" s="42"/>
      <c r="F86" s="8">
        <f t="shared" si="16"/>
        <v>34</v>
      </c>
      <c r="G86" s="44">
        <f t="shared" ref="G86:G91" si="17">INDEX(D$20:D$79,F85)</f>
        <v>24000.000000000044</v>
      </c>
    </row>
    <row r="87" spans="4:7" x14ac:dyDescent="0.25">
      <c r="D87" s="42"/>
      <c r="F87" s="8">
        <f t="shared" si="16"/>
        <v>35</v>
      </c>
      <c r="G87" s="44">
        <f t="shared" si="17"/>
        <v>24000.000000000044</v>
      </c>
    </row>
    <row r="88" spans="4:7" x14ac:dyDescent="0.25">
      <c r="D88" s="42"/>
      <c r="F88" s="8">
        <f t="shared" si="16"/>
        <v>35</v>
      </c>
      <c r="G88" s="44">
        <f t="shared" si="17"/>
        <v>22800.000000000044</v>
      </c>
    </row>
    <row r="89" spans="4:7" x14ac:dyDescent="0.25">
      <c r="D89" s="42"/>
      <c r="F89" s="8">
        <f t="shared" si="16"/>
        <v>36</v>
      </c>
      <c r="G89" s="44">
        <f t="shared" si="17"/>
        <v>22800.000000000044</v>
      </c>
    </row>
    <row r="90" spans="4:7" x14ac:dyDescent="0.25">
      <c r="D90" s="42"/>
      <c r="F90" s="8">
        <f t="shared" si="16"/>
        <v>36</v>
      </c>
      <c r="G90" s="44">
        <f t="shared" si="17"/>
        <v>21600.000000000044</v>
      </c>
    </row>
    <row r="91" spans="4:7" x14ac:dyDescent="0.25">
      <c r="D91" s="42"/>
      <c r="F91" s="8">
        <f t="shared" si="16"/>
        <v>37</v>
      </c>
      <c r="G91" s="44">
        <f t="shared" si="17"/>
        <v>21600.000000000044</v>
      </c>
    </row>
    <row r="92" spans="4:7" x14ac:dyDescent="0.25">
      <c r="D92" s="42"/>
      <c r="F92" s="8">
        <f t="shared" si="16"/>
        <v>37</v>
      </c>
      <c r="G92" s="44">
        <f>INDEX(D$20:D$79,F91)</f>
        <v>20880.000000000044</v>
      </c>
    </row>
    <row r="93" spans="4:7" x14ac:dyDescent="0.25">
      <c r="D93" s="42"/>
      <c r="F93" s="8">
        <f t="shared" si="16"/>
        <v>38</v>
      </c>
      <c r="G93" s="44">
        <f t="shared" ref="G93:G115" si="18">INDEX(D$20:D$79,F92)</f>
        <v>20880.000000000044</v>
      </c>
    </row>
    <row r="94" spans="4:7" x14ac:dyDescent="0.25">
      <c r="D94" s="42"/>
      <c r="F94" s="8">
        <f t="shared" si="16"/>
        <v>38</v>
      </c>
      <c r="G94" s="44">
        <f t="shared" si="18"/>
        <v>20160.000000000044</v>
      </c>
    </row>
    <row r="95" spans="4:7" x14ac:dyDescent="0.25">
      <c r="D95" s="42"/>
      <c r="E95" s="42"/>
      <c r="F95" s="8">
        <f t="shared" si="16"/>
        <v>39</v>
      </c>
      <c r="G95" s="44">
        <f t="shared" si="18"/>
        <v>20160.000000000044</v>
      </c>
    </row>
    <row r="96" spans="4:7" x14ac:dyDescent="0.25">
      <c r="D96" s="42"/>
      <c r="E96" s="42"/>
      <c r="F96" s="8">
        <f t="shared" si="16"/>
        <v>39</v>
      </c>
      <c r="G96" s="44">
        <f t="shared" si="18"/>
        <v>19440.000000000044</v>
      </c>
    </row>
    <row r="97" spans="4:7" x14ac:dyDescent="0.25">
      <c r="D97" s="42"/>
      <c r="E97" s="42"/>
      <c r="F97" s="8">
        <f t="shared" si="16"/>
        <v>40</v>
      </c>
      <c r="G97" s="44">
        <f t="shared" si="18"/>
        <v>19440.000000000044</v>
      </c>
    </row>
    <row r="98" spans="4:7" x14ac:dyDescent="0.25">
      <c r="F98" s="8">
        <f t="shared" si="16"/>
        <v>40</v>
      </c>
      <c r="G98" s="44">
        <f t="shared" si="18"/>
        <v>18720.000000000044</v>
      </c>
    </row>
    <row r="99" spans="4:7" x14ac:dyDescent="0.25">
      <c r="F99" s="8">
        <f t="shared" si="16"/>
        <v>41</v>
      </c>
      <c r="G99" s="44">
        <f t="shared" si="18"/>
        <v>18720.000000000044</v>
      </c>
    </row>
    <row r="100" spans="4:7" x14ac:dyDescent="0.25">
      <c r="F100" s="8">
        <f t="shared" si="16"/>
        <v>41</v>
      </c>
      <c r="G100" s="44">
        <f t="shared" si="18"/>
        <v>18000.000000000044</v>
      </c>
    </row>
    <row r="101" spans="4:7" x14ac:dyDescent="0.25">
      <c r="F101" s="8">
        <f t="shared" si="16"/>
        <v>42</v>
      </c>
      <c r="G101" s="44">
        <f t="shared" si="18"/>
        <v>18000.000000000044</v>
      </c>
    </row>
    <row r="102" spans="4:7" x14ac:dyDescent="0.25">
      <c r="F102" s="8">
        <f t="shared" si="16"/>
        <v>42</v>
      </c>
      <c r="G102" s="44">
        <f t="shared" si="18"/>
        <v>17280.000000000044</v>
      </c>
    </row>
    <row r="103" spans="4:7" x14ac:dyDescent="0.25">
      <c r="F103" s="8">
        <f t="shared" si="16"/>
        <v>43</v>
      </c>
      <c r="G103" s="44">
        <f t="shared" si="18"/>
        <v>17280.000000000044</v>
      </c>
    </row>
    <row r="104" spans="4:7" x14ac:dyDescent="0.25">
      <c r="F104" s="8">
        <f t="shared" si="16"/>
        <v>43</v>
      </c>
      <c r="G104" s="44">
        <f t="shared" si="18"/>
        <v>16560.000000000044</v>
      </c>
    </row>
    <row r="105" spans="4:7" x14ac:dyDescent="0.25">
      <c r="F105" s="8">
        <f t="shared" si="16"/>
        <v>44</v>
      </c>
      <c r="G105" s="44">
        <f t="shared" si="18"/>
        <v>16560.000000000044</v>
      </c>
    </row>
    <row r="106" spans="4:7" x14ac:dyDescent="0.25">
      <c r="F106" s="8">
        <f t="shared" si="16"/>
        <v>44</v>
      </c>
      <c r="G106" s="44">
        <f t="shared" si="18"/>
        <v>15840.000000000044</v>
      </c>
    </row>
    <row r="107" spans="4:7" x14ac:dyDescent="0.25">
      <c r="F107" s="8">
        <f t="shared" si="16"/>
        <v>45</v>
      </c>
      <c r="G107" s="44">
        <f t="shared" si="18"/>
        <v>15840.000000000044</v>
      </c>
    </row>
    <row r="108" spans="4:7" x14ac:dyDescent="0.25">
      <c r="F108" s="8">
        <f t="shared" si="16"/>
        <v>45</v>
      </c>
      <c r="G108" s="44">
        <f t="shared" si="18"/>
        <v>15120.000000000044</v>
      </c>
    </row>
    <row r="109" spans="4:7" x14ac:dyDescent="0.25">
      <c r="F109" s="8">
        <f t="shared" si="16"/>
        <v>46</v>
      </c>
      <c r="G109" s="44">
        <f t="shared" si="18"/>
        <v>15120.000000000044</v>
      </c>
    </row>
    <row r="110" spans="4:7" x14ac:dyDescent="0.25">
      <c r="F110" s="8">
        <f t="shared" si="16"/>
        <v>46</v>
      </c>
      <c r="G110" s="44">
        <f t="shared" si="18"/>
        <v>14400.000000000044</v>
      </c>
    </row>
    <row r="111" spans="4:7" x14ac:dyDescent="0.25">
      <c r="F111" s="8">
        <f t="shared" si="16"/>
        <v>47</v>
      </c>
      <c r="G111" s="44">
        <f t="shared" si="18"/>
        <v>14400.000000000044</v>
      </c>
    </row>
    <row r="112" spans="4:7" x14ac:dyDescent="0.25">
      <c r="F112" s="8">
        <f t="shared" si="16"/>
        <v>47</v>
      </c>
      <c r="G112" s="44">
        <f t="shared" si="18"/>
        <v>13680.000000000044</v>
      </c>
    </row>
    <row r="113" spans="6:7" x14ac:dyDescent="0.25">
      <c r="F113" s="8">
        <f t="shared" si="16"/>
        <v>48</v>
      </c>
      <c r="G113" s="44">
        <f t="shared" si="18"/>
        <v>13680.000000000044</v>
      </c>
    </row>
    <row r="114" spans="6:7" x14ac:dyDescent="0.25">
      <c r="F114" s="8">
        <f t="shared" si="16"/>
        <v>48</v>
      </c>
      <c r="G114" s="44">
        <f t="shared" si="18"/>
        <v>12960.000000000044</v>
      </c>
    </row>
    <row r="115" spans="6:7" x14ac:dyDescent="0.25">
      <c r="F115" s="8">
        <f t="shared" si="16"/>
        <v>49</v>
      </c>
      <c r="G115" s="44">
        <f t="shared" si="18"/>
        <v>12960.000000000044</v>
      </c>
    </row>
    <row r="116" spans="6:7" x14ac:dyDescent="0.25">
      <c r="F116" s="8">
        <f t="shared" si="16"/>
        <v>49</v>
      </c>
      <c r="G116" s="44">
        <f>INDEX(D$20:D$79,F115)</f>
        <v>12528.000000000044</v>
      </c>
    </row>
    <row r="117" spans="6:7" x14ac:dyDescent="0.25">
      <c r="F117" s="8">
        <f t="shared" si="16"/>
        <v>50</v>
      </c>
      <c r="G117" s="44">
        <f t="shared" ref="G117:G125" si="19">INDEX(D$20:D$79,F116)</f>
        <v>12528.000000000044</v>
      </c>
    </row>
    <row r="118" spans="6:7" x14ac:dyDescent="0.25">
      <c r="F118" s="8">
        <f t="shared" si="16"/>
        <v>50</v>
      </c>
      <c r="G118" s="44">
        <f t="shared" si="19"/>
        <v>12096.000000000044</v>
      </c>
    </row>
    <row r="119" spans="6:7" x14ac:dyDescent="0.25">
      <c r="F119" s="8">
        <f t="shared" si="16"/>
        <v>51</v>
      </c>
      <c r="G119" s="44">
        <f t="shared" si="19"/>
        <v>12096.000000000044</v>
      </c>
    </row>
    <row r="120" spans="6:7" x14ac:dyDescent="0.25">
      <c r="F120" s="8">
        <f t="shared" si="16"/>
        <v>51</v>
      </c>
      <c r="G120" s="44">
        <f t="shared" si="19"/>
        <v>11664.000000000044</v>
      </c>
    </row>
    <row r="121" spans="6:7" x14ac:dyDescent="0.25">
      <c r="F121" s="8">
        <f t="shared" si="16"/>
        <v>52</v>
      </c>
      <c r="G121" s="44">
        <f t="shared" si="19"/>
        <v>11664.000000000044</v>
      </c>
    </row>
    <row r="122" spans="6:7" x14ac:dyDescent="0.25">
      <c r="F122" s="8">
        <f t="shared" si="16"/>
        <v>52</v>
      </c>
      <c r="G122" s="44">
        <f t="shared" si="19"/>
        <v>11232.000000000044</v>
      </c>
    </row>
    <row r="123" spans="6:7" x14ac:dyDescent="0.25">
      <c r="F123" s="8">
        <f t="shared" si="16"/>
        <v>53</v>
      </c>
      <c r="G123" s="44">
        <f t="shared" si="19"/>
        <v>11232.000000000044</v>
      </c>
    </row>
    <row r="124" spans="6:7" x14ac:dyDescent="0.25">
      <c r="F124" s="8">
        <f t="shared" si="16"/>
        <v>53</v>
      </c>
      <c r="G124" s="44">
        <f t="shared" si="19"/>
        <v>10800.000000000044</v>
      </c>
    </row>
    <row r="125" spans="6:7" x14ac:dyDescent="0.25">
      <c r="F125" s="8">
        <f t="shared" si="16"/>
        <v>54</v>
      </c>
      <c r="G125" s="44">
        <f t="shared" si="19"/>
        <v>10800.000000000044</v>
      </c>
    </row>
    <row r="126" spans="6:7" x14ac:dyDescent="0.25">
      <c r="F126" s="8">
        <f t="shared" si="16"/>
        <v>54</v>
      </c>
      <c r="G126" s="44">
        <f>INDEX(D$20:D$79,F125)</f>
        <v>10368.000000000044</v>
      </c>
    </row>
    <row r="127" spans="6:7" x14ac:dyDescent="0.25">
      <c r="F127" s="8">
        <f t="shared" si="16"/>
        <v>55</v>
      </c>
      <c r="G127" s="44">
        <f t="shared" ref="G127:G131" si="20">INDEX(D$20:D$79,F126)</f>
        <v>10368.000000000044</v>
      </c>
    </row>
    <row r="128" spans="6:7" x14ac:dyDescent="0.25">
      <c r="F128" s="8">
        <f t="shared" si="16"/>
        <v>55</v>
      </c>
      <c r="G128" s="44">
        <f t="shared" si="20"/>
        <v>9936.0000000000437</v>
      </c>
    </row>
    <row r="129" spans="6:7" x14ac:dyDescent="0.25">
      <c r="F129" s="8">
        <f t="shared" si="16"/>
        <v>56</v>
      </c>
      <c r="G129" s="44">
        <f t="shared" si="20"/>
        <v>9936.0000000000437</v>
      </c>
    </row>
    <row r="130" spans="6:7" x14ac:dyDescent="0.25">
      <c r="F130" s="8">
        <f t="shared" si="16"/>
        <v>56</v>
      </c>
      <c r="G130" s="44">
        <f t="shared" si="20"/>
        <v>9504.0000000000437</v>
      </c>
    </row>
    <row r="131" spans="6:7" x14ac:dyDescent="0.25">
      <c r="F131" s="8">
        <f t="shared" si="16"/>
        <v>57</v>
      </c>
      <c r="G131" s="44">
        <f t="shared" si="20"/>
        <v>9504.0000000000437</v>
      </c>
    </row>
    <row r="132" spans="6:7" x14ac:dyDescent="0.25">
      <c r="F132" s="8">
        <f t="shared" si="16"/>
        <v>57</v>
      </c>
      <c r="G132" s="44">
        <f>INDEX(D$20:D$79,F131)</f>
        <v>9072.0000000000437</v>
      </c>
    </row>
    <row r="133" spans="6:7" x14ac:dyDescent="0.25">
      <c r="F133" s="8">
        <f t="shared" si="16"/>
        <v>58</v>
      </c>
      <c r="G133" s="44">
        <f t="shared" ref="G133:G135" si="21">INDEX(D$20:D$79,F132)</f>
        <v>9072.0000000000437</v>
      </c>
    </row>
    <row r="134" spans="6:7" x14ac:dyDescent="0.25">
      <c r="F134" s="8">
        <f t="shared" si="16"/>
        <v>58</v>
      </c>
      <c r="G134" s="44">
        <f t="shared" si="21"/>
        <v>8640.0000000000437</v>
      </c>
    </row>
    <row r="135" spans="6:7" x14ac:dyDescent="0.25">
      <c r="F135" s="8">
        <f t="shared" si="16"/>
        <v>59</v>
      </c>
      <c r="G135" s="44">
        <f t="shared" si="21"/>
        <v>8640.0000000000437</v>
      </c>
    </row>
    <row r="136" spans="6:7" x14ac:dyDescent="0.25">
      <c r="F136" s="8">
        <f t="shared" si="16"/>
        <v>59</v>
      </c>
      <c r="G136" s="44">
        <f>INDEX(D$20:D$79,F135)</f>
        <v>8208.0000000000437</v>
      </c>
    </row>
    <row r="137" spans="6:7" x14ac:dyDescent="0.25">
      <c r="F137" s="8">
        <f t="shared" si="16"/>
        <v>60</v>
      </c>
      <c r="G137" s="44">
        <f t="shared" ref="G137:G138" si="22">INDEX(D$20:D$79,F136)</f>
        <v>8208.0000000000437</v>
      </c>
    </row>
    <row r="138" spans="6:7" x14ac:dyDescent="0.25">
      <c r="F138" s="8">
        <f t="shared" si="16"/>
        <v>60</v>
      </c>
      <c r="G138" s="44">
        <f t="shared" si="22"/>
        <v>7776.0000000000437</v>
      </c>
    </row>
    <row r="139" spans="6:7" x14ac:dyDescent="0.25">
      <c r="F139" s="8">
        <f t="shared" si="16"/>
        <v>61</v>
      </c>
      <c r="G139" s="44">
        <f>INDEX(D$20:D$79,F138)</f>
        <v>7776.0000000000437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E21"/>
  <sheetViews>
    <sheetView workbookViewId="0">
      <selection activeCell="D18" sqref="D18"/>
    </sheetView>
  </sheetViews>
  <sheetFormatPr defaultRowHeight="15" x14ac:dyDescent="0.25"/>
  <cols>
    <col min="1" max="1" width="27.85546875" customWidth="1"/>
    <col min="2" max="2" width="20.85546875" customWidth="1"/>
    <col min="3" max="3" width="10.7109375" bestFit="1" customWidth="1"/>
    <col min="4" max="4" width="19.28515625" bestFit="1" customWidth="1"/>
    <col min="5" max="5" width="15" customWidth="1"/>
    <col min="6" max="6" width="10.7109375" bestFit="1" customWidth="1"/>
  </cols>
  <sheetData>
    <row r="1" spans="1:5" ht="18.75" x14ac:dyDescent="0.3">
      <c r="A1" s="29" t="s">
        <v>22</v>
      </c>
    </row>
    <row r="2" spans="1:5" ht="18.75" x14ac:dyDescent="0.3">
      <c r="A2" s="29"/>
    </row>
    <row r="3" spans="1:5" ht="15.75" x14ac:dyDescent="0.25">
      <c r="A3" s="34" t="s">
        <v>48</v>
      </c>
    </row>
    <row r="4" spans="1:5" hidden="1" x14ac:dyDescent="0.25"/>
    <row r="5" spans="1:5" x14ac:dyDescent="0.25">
      <c r="A5" s="7" t="s">
        <v>6</v>
      </c>
      <c r="B5" s="7" t="s">
        <v>3</v>
      </c>
    </row>
    <row r="6" spans="1:5" ht="30" x14ac:dyDescent="0.25">
      <c r="A6" s="37" t="s">
        <v>23</v>
      </c>
      <c r="B6" s="9">
        <v>100000</v>
      </c>
    </row>
    <row r="7" spans="1:5" ht="45" x14ac:dyDescent="0.25">
      <c r="A7" s="37" t="s">
        <v>27</v>
      </c>
      <c r="B7" s="36">
        <v>41638</v>
      </c>
    </row>
    <row r="8" spans="1:5" ht="30" x14ac:dyDescent="0.25">
      <c r="A8" s="37" t="s">
        <v>28</v>
      </c>
      <c r="B8" s="38">
        <f>EOMONTH(B7,0)+1</f>
        <v>41640</v>
      </c>
    </row>
    <row r="9" spans="1:5" ht="30" x14ac:dyDescent="0.25">
      <c r="A9" s="37" t="s">
        <v>24</v>
      </c>
      <c r="B9" s="30">
        <v>5</v>
      </c>
      <c r="C9" s="8" t="s">
        <v>5</v>
      </c>
    </row>
    <row r="10" spans="1:5" x14ac:dyDescent="0.25">
      <c r="A10" s="37" t="s">
        <v>34</v>
      </c>
      <c r="B10" s="30">
        <v>2</v>
      </c>
    </row>
    <row r="11" spans="1:5" x14ac:dyDescent="0.25">
      <c r="A11" s="37" t="s">
        <v>25</v>
      </c>
      <c r="B11" s="31">
        <f>100%/B9*B10</f>
        <v>0.4</v>
      </c>
    </row>
    <row r="12" spans="1:5" x14ac:dyDescent="0.25">
      <c r="A12" s="13"/>
      <c r="B12" s="48"/>
    </row>
    <row r="13" spans="1:5" x14ac:dyDescent="0.25">
      <c r="A13" s="49" t="s">
        <v>62</v>
      </c>
      <c r="B13" s="48"/>
    </row>
    <row r="14" spans="1:5" hidden="1" x14ac:dyDescent="0.25"/>
    <row r="15" spans="1:5" ht="45" x14ac:dyDescent="0.25">
      <c r="A15" s="40" t="s">
        <v>35</v>
      </c>
      <c r="B15" s="41" t="s">
        <v>36</v>
      </c>
      <c r="C15" s="47" t="s">
        <v>32</v>
      </c>
      <c r="D15" s="56" t="s">
        <v>37</v>
      </c>
      <c r="E15" s="47" t="s">
        <v>44</v>
      </c>
    </row>
    <row r="16" spans="1:5" x14ac:dyDescent="0.25">
      <c r="A16" s="8">
        <v>1</v>
      </c>
      <c r="B16" s="44">
        <f>B6</f>
        <v>100000</v>
      </c>
      <c r="C16" s="43">
        <f>B16*$B$11</f>
        <v>40000</v>
      </c>
      <c r="D16" s="57">
        <f>B16-C16</f>
        <v>60000</v>
      </c>
      <c r="E16" s="58">
        <f>DDB($B$6,,$B$9,A16,$B$10)</f>
        <v>40000</v>
      </c>
    </row>
    <row r="17" spans="1:5" x14ac:dyDescent="0.25">
      <c r="A17" s="8">
        <v>2</v>
      </c>
      <c r="B17" s="44">
        <f>D16</f>
        <v>60000</v>
      </c>
      <c r="C17" s="43">
        <f>B17*$B$11</f>
        <v>24000</v>
      </c>
      <c r="D17" s="57">
        <f t="shared" ref="D17:D20" si="0">B17-C17</f>
        <v>36000</v>
      </c>
      <c r="E17" s="58">
        <f>DDB($B$6,,$B$9,A17,$B$10)</f>
        <v>24000</v>
      </c>
    </row>
    <row r="18" spans="1:5" x14ac:dyDescent="0.25">
      <c r="A18" s="8">
        <v>3</v>
      </c>
      <c r="B18" s="44">
        <f t="shared" ref="B18:B20" si="1">D17</f>
        <v>36000</v>
      </c>
      <c r="C18" s="43">
        <f>B18*$B$11</f>
        <v>14400</v>
      </c>
      <c r="D18" s="57">
        <f t="shared" si="0"/>
        <v>21600</v>
      </c>
      <c r="E18" s="58">
        <f>DDB($B$6,,$B$9,A18,$B$10)</f>
        <v>14400</v>
      </c>
    </row>
    <row r="19" spans="1:5" x14ac:dyDescent="0.25">
      <c r="A19" s="8">
        <v>4</v>
      </c>
      <c r="B19" s="44">
        <f t="shared" si="1"/>
        <v>21600</v>
      </c>
      <c r="C19" s="43">
        <f>B19*$B$11</f>
        <v>8640</v>
      </c>
      <c r="D19" s="57">
        <f t="shared" si="0"/>
        <v>12960</v>
      </c>
      <c r="E19" s="58">
        <f>DDB($B$6,,$B$9,A19,$B$10)</f>
        <v>8640</v>
      </c>
    </row>
    <row r="20" spans="1:5" x14ac:dyDescent="0.25">
      <c r="A20" s="8">
        <v>5</v>
      </c>
      <c r="B20" s="44">
        <f t="shared" si="1"/>
        <v>12960</v>
      </c>
      <c r="C20" s="43">
        <f>B20*$B$11</f>
        <v>5184</v>
      </c>
      <c r="D20" s="57">
        <f t="shared" si="0"/>
        <v>7776</v>
      </c>
      <c r="E20" s="58">
        <f>DDB($B$6,,$B$9,A20,$B$10)</f>
        <v>5184</v>
      </c>
    </row>
    <row r="21" spans="1:5" x14ac:dyDescent="0.25">
      <c r="C21" s="50">
        <f>SUM(C16:C20)</f>
        <v>92224</v>
      </c>
      <c r="E21" s="50">
        <f>SUM(E16:E20)</f>
        <v>92224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I139"/>
  <sheetViews>
    <sheetView workbookViewId="0">
      <selection activeCell="D11" sqref="D11"/>
    </sheetView>
  </sheetViews>
  <sheetFormatPr defaultRowHeight="15" x14ac:dyDescent="0.25"/>
  <cols>
    <col min="1" max="1" width="35.5703125" customWidth="1"/>
    <col min="2" max="2" width="16.7109375" customWidth="1"/>
    <col min="3" max="3" width="19" customWidth="1"/>
    <col min="4" max="4" width="22.5703125" customWidth="1"/>
    <col min="5" max="5" width="9.28515625" customWidth="1"/>
    <col min="6" max="6" width="7" bestFit="1" customWidth="1"/>
    <col min="7" max="7" width="18.5703125" customWidth="1"/>
    <col min="9" max="9" width="9.7109375" bestFit="1" customWidth="1"/>
  </cols>
  <sheetData>
    <row r="1" spans="1:4" x14ac:dyDescent="0.25">
      <c r="A1" s="28" t="s">
        <v>43</v>
      </c>
    </row>
    <row r="3" spans="1:4" x14ac:dyDescent="0.25">
      <c r="A3" s="7" t="s">
        <v>6</v>
      </c>
      <c r="B3" s="7" t="s">
        <v>3</v>
      </c>
      <c r="C3" s="7" t="s">
        <v>2</v>
      </c>
    </row>
    <row r="4" spans="1:4" ht="30" x14ac:dyDescent="0.25">
      <c r="A4" s="37" t="s">
        <v>23</v>
      </c>
      <c r="B4" s="9">
        <v>150000</v>
      </c>
      <c r="C4" s="8" t="s">
        <v>4</v>
      </c>
    </row>
    <row r="5" spans="1:4" x14ac:dyDescent="0.25">
      <c r="A5" s="37" t="s">
        <v>24</v>
      </c>
      <c r="B5" s="30">
        <v>5</v>
      </c>
      <c r="C5" s="8" t="s">
        <v>5</v>
      </c>
    </row>
    <row r="6" spans="1:4" x14ac:dyDescent="0.25">
      <c r="A6" s="37" t="s">
        <v>24</v>
      </c>
      <c r="B6" s="10">
        <f>B5*12</f>
        <v>60</v>
      </c>
      <c r="C6" s="8" t="s">
        <v>38</v>
      </c>
    </row>
    <row r="7" spans="1:4" x14ac:dyDescent="0.25">
      <c r="A7" s="8" t="s">
        <v>34</v>
      </c>
      <c r="B7" s="30">
        <v>2</v>
      </c>
      <c r="C7" s="8"/>
    </row>
    <row r="8" spans="1:4" x14ac:dyDescent="0.25">
      <c r="A8" s="37" t="s">
        <v>68</v>
      </c>
      <c r="B8" s="10">
        <f ca="1">SUMPRODUCT(ROW(INDIRECT("1:"&amp;B5)))</f>
        <v>15</v>
      </c>
      <c r="C8" s="8"/>
    </row>
    <row r="10" spans="1:4" ht="45" x14ac:dyDescent="0.25">
      <c r="A10" s="62" t="s">
        <v>35</v>
      </c>
      <c r="B10" s="62" t="s">
        <v>65</v>
      </c>
      <c r="C10" s="62" t="s">
        <v>66</v>
      </c>
      <c r="D10" s="62" t="s">
        <v>70</v>
      </c>
    </row>
    <row r="11" spans="1:4" x14ac:dyDescent="0.25">
      <c r="A11" s="8">
        <v>1</v>
      </c>
      <c r="B11" s="43">
        <f>$B$4*($B$5+1-A11)/15</f>
        <v>50000</v>
      </c>
      <c r="C11" s="43">
        <f>B11/12</f>
        <v>4166.666666666667</v>
      </c>
      <c r="D11" s="43">
        <f>SYD($B$4,,$B$5,A11)</f>
        <v>50000</v>
      </c>
    </row>
    <row r="12" spans="1:4" x14ac:dyDescent="0.25">
      <c r="A12" s="8">
        <f>A11+1</f>
        <v>2</v>
      </c>
      <c r="B12" s="43">
        <f t="shared" ref="B12:B15" si="0">$B$4*($B$5+1-A12)/15</f>
        <v>40000</v>
      </c>
      <c r="C12" s="43">
        <f t="shared" ref="C12:C15" si="1">B12/12</f>
        <v>3333.3333333333335</v>
      </c>
      <c r="D12" s="43">
        <f t="shared" ref="D12:D15" si="2">SYD($B$4,,$B$5,A12)</f>
        <v>40000</v>
      </c>
    </row>
    <row r="13" spans="1:4" x14ac:dyDescent="0.25">
      <c r="A13" s="8">
        <f t="shared" ref="A13:A15" si="3">A12+1</f>
        <v>3</v>
      </c>
      <c r="B13" s="43">
        <f t="shared" si="0"/>
        <v>30000</v>
      </c>
      <c r="C13" s="43">
        <f t="shared" si="1"/>
        <v>2500</v>
      </c>
      <c r="D13" s="43">
        <f t="shared" si="2"/>
        <v>30000</v>
      </c>
    </row>
    <row r="14" spans="1:4" x14ac:dyDescent="0.25">
      <c r="A14" s="8">
        <f t="shared" si="3"/>
        <v>4</v>
      </c>
      <c r="B14" s="43">
        <f t="shared" si="0"/>
        <v>20000</v>
      </c>
      <c r="C14" s="43">
        <f t="shared" si="1"/>
        <v>1666.6666666666667</v>
      </c>
      <c r="D14" s="43">
        <f t="shared" si="2"/>
        <v>20000</v>
      </c>
    </row>
    <row r="15" spans="1:4" x14ac:dyDescent="0.25">
      <c r="A15" s="8">
        <f t="shared" si="3"/>
        <v>5</v>
      </c>
      <c r="B15" s="43">
        <f t="shared" si="0"/>
        <v>10000</v>
      </c>
      <c r="C15" s="43">
        <f t="shared" si="1"/>
        <v>833.33333333333337</v>
      </c>
      <c r="D15" s="43">
        <f t="shared" si="2"/>
        <v>10000</v>
      </c>
    </row>
    <row r="16" spans="1:4" x14ac:dyDescent="0.25">
      <c r="A16" s="70" t="s">
        <v>64</v>
      </c>
      <c r="B16" s="54">
        <f>SUM(B11:B15)</f>
        <v>150000</v>
      </c>
      <c r="C16" s="13"/>
      <c r="D16" s="54">
        <f>SUM(D11:D15)</f>
        <v>150000</v>
      </c>
    </row>
    <row r="18" spans="1:9" x14ac:dyDescent="0.25">
      <c r="A18" s="53" t="s">
        <v>42</v>
      </c>
      <c r="F18" s="28" t="s">
        <v>41</v>
      </c>
    </row>
    <row r="19" spans="1:9" ht="45" x14ac:dyDescent="0.25">
      <c r="A19" s="52" t="s">
        <v>40</v>
      </c>
      <c r="B19" s="62" t="s">
        <v>56</v>
      </c>
      <c r="C19" s="62" t="s">
        <v>67</v>
      </c>
      <c r="D19" s="62" t="s">
        <v>55</v>
      </c>
      <c r="F19" s="7" t="s">
        <v>40</v>
      </c>
      <c r="G19" s="62" t="s">
        <v>55</v>
      </c>
    </row>
    <row r="20" spans="1:9" x14ac:dyDescent="0.25">
      <c r="A20" s="8">
        <v>1</v>
      </c>
      <c r="B20" s="55">
        <f>B4</f>
        <v>150000</v>
      </c>
      <c r="C20" s="44">
        <f>VLOOKUP(INT((A20-1)/12)+1,$A$11:$C$15,3,FALSE)</f>
        <v>4166.666666666667</v>
      </c>
      <c r="D20" s="44">
        <f>B20-C20</f>
        <v>145833.33333333334</v>
      </c>
      <c r="F20" s="8">
        <f t="shared" ref="F20:F83" si="4">INT((ROW()-ROW(F$19))/2)+1</f>
        <v>1</v>
      </c>
      <c r="G20" s="55">
        <f>G21</f>
        <v>145833.33333333334</v>
      </c>
      <c r="I20" s="71"/>
    </row>
    <row r="21" spans="1:9" x14ac:dyDescent="0.25">
      <c r="A21" s="8">
        <v>2</v>
      </c>
      <c r="B21" s="44">
        <f t="shared" ref="B21:B79" si="5">B20-C20</f>
        <v>145833.33333333334</v>
      </c>
      <c r="C21" s="44">
        <f t="shared" ref="C21:C79" si="6">VLOOKUP(INT((A21-1)/12)+1,$A$11:$C$15,3,FALSE)</f>
        <v>4166.666666666667</v>
      </c>
      <c r="D21" s="44">
        <f t="shared" ref="D21:D79" si="7">B21-C21</f>
        <v>141666.66666666669</v>
      </c>
      <c r="F21" s="8">
        <f t="shared" si="4"/>
        <v>2</v>
      </c>
      <c r="G21" s="44">
        <f>INDEX(D$20:D$79,F20)</f>
        <v>145833.33333333334</v>
      </c>
      <c r="I21" s="71"/>
    </row>
    <row r="22" spans="1:9" x14ac:dyDescent="0.25">
      <c r="A22" s="8">
        <v>3</v>
      </c>
      <c r="B22" s="44">
        <f t="shared" si="5"/>
        <v>141666.66666666669</v>
      </c>
      <c r="C22" s="44">
        <f t="shared" si="6"/>
        <v>4166.666666666667</v>
      </c>
      <c r="D22" s="44">
        <f t="shared" si="7"/>
        <v>137500.00000000003</v>
      </c>
      <c r="F22" s="8">
        <f t="shared" si="4"/>
        <v>2</v>
      </c>
      <c r="G22" s="44">
        <f t="shared" ref="G22:G85" si="8">INDEX(D$20:D$79,F21)</f>
        <v>141666.66666666669</v>
      </c>
      <c r="I22" s="71"/>
    </row>
    <row r="23" spans="1:9" x14ac:dyDescent="0.25">
      <c r="A23" s="8">
        <v>4</v>
      </c>
      <c r="B23" s="44">
        <f t="shared" si="5"/>
        <v>137500.00000000003</v>
      </c>
      <c r="C23" s="44">
        <f t="shared" si="6"/>
        <v>4166.666666666667</v>
      </c>
      <c r="D23" s="44">
        <f t="shared" si="7"/>
        <v>133333.33333333337</v>
      </c>
      <c r="F23" s="8">
        <f t="shared" si="4"/>
        <v>3</v>
      </c>
      <c r="G23" s="44">
        <f t="shared" si="8"/>
        <v>141666.66666666669</v>
      </c>
      <c r="I23" s="71"/>
    </row>
    <row r="24" spans="1:9" x14ac:dyDescent="0.25">
      <c r="A24" s="8">
        <v>5</v>
      </c>
      <c r="B24" s="44">
        <f t="shared" si="5"/>
        <v>133333.33333333337</v>
      </c>
      <c r="C24" s="44">
        <f t="shared" si="6"/>
        <v>4166.666666666667</v>
      </c>
      <c r="D24" s="44">
        <f t="shared" si="7"/>
        <v>129166.6666666667</v>
      </c>
      <c r="F24" s="8">
        <f t="shared" si="4"/>
        <v>3</v>
      </c>
      <c r="G24" s="44">
        <f t="shared" si="8"/>
        <v>137500.00000000003</v>
      </c>
      <c r="I24" s="71"/>
    </row>
    <row r="25" spans="1:9" x14ac:dyDescent="0.25">
      <c r="A25" s="8">
        <v>6</v>
      </c>
      <c r="B25" s="44">
        <f t="shared" si="5"/>
        <v>129166.6666666667</v>
      </c>
      <c r="C25" s="44">
        <f t="shared" si="6"/>
        <v>4166.666666666667</v>
      </c>
      <c r="D25" s="44">
        <f t="shared" si="7"/>
        <v>125000.00000000003</v>
      </c>
      <c r="F25" s="8">
        <f t="shared" si="4"/>
        <v>4</v>
      </c>
      <c r="G25" s="44">
        <f t="shared" si="8"/>
        <v>137500.00000000003</v>
      </c>
      <c r="I25" s="71"/>
    </row>
    <row r="26" spans="1:9" x14ac:dyDescent="0.25">
      <c r="A26" s="8">
        <v>7</v>
      </c>
      <c r="B26" s="44">
        <f t="shared" si="5"/>
        <v>125000.00000000003</v>
      </c>
      <c r="C26" s="44">
        <f t="shared" si="6"/>
        <v>4166.666666666667</v>
      </c>
      <c r="D26" s="44">
        <f t="shared" si="7"/>
        <v>120833.33333333336</v>
      </c>
      <c r="F26" s="8">
        <f t="shared" si="4"/>
        <v>4</v>
      </c>
      <c r="G26" s="44">
        <f t="shared" si="8"/>
        <v>133333.33333333337</v>
      </c>
      <c r="I26" s="71"/>
    </row>
    <row r="27" spans="1:9" x14ac:dyDescent="0.25">
      <c r="A27" s="8">
        <v>8</v>
      </c>
      <c r="B27" s="44">
        <f t="shared" si="5"/>
        <v>120833.33333333336</v>
      </c>
      <c r="C27" s="44">
        <f t="shared" si="6"/>
        <v>4166.666666666667</v>
      </c>
      <c r="D27" s="44">
        <f t="shared" si="7"/>
        <v>116666.66666666669</v>
      </c>
      <c r="F27" s="8">
        <f t="shared" si="4"/>
        <v>5</v>
      </c>
      <c r="G27" s="44">
        <f t="shared" si="8"/>
        <v>133333.33333333337</v>
      </c>
      <c r="I27" s="71"/>
    </row>
    <row r="28" spans="1:9" x14ac:dyDescent="0.25">
      <c r="A28" s="8">
        <v>9</v>
      </c>
      <c r="B28" s="44">
        <f t="shared" si="5"/>
        <v>116666.66666666669</v>
      </c>
      <c r="C28" s="44">
        <f t="shared" si="6"/>
        <v>4166.666666666667</v>
      </c>
      <c r="D28" s="44">
        <f t="shared" si="7"/>
        <v>112500.00000000001</v>
      </c>
      <c r="F28" s="8">
        <f t="shared" si="4"/>
        <v>5</v>
      </c>
      <c r="G28" s="44">
        <f t="shared" si="8"/>
        <v>129166.6666666667</v>
      </c>
      <c r="I28" s="71"/>
    </row>
    <row r="29" spans="1:9" x14ac:dyDescent="0.25">
      <c r="A29" s="8">
        <v>10</v>
      </c>
      <c r="B29" s="44">
        <f t="shared" si="5"/>
        <v>112500.00000000001</v>
      </c>
      <c r="C29" s="44">
        <f t="shared" si="6"/>
        <v>4166.666666666667</v>
      </c>
      <c r="D29" s="44">
        <f t="shared" si="7"/>
        <v>108333.33333333334</v>
      </c>
      <c r="F29" s="8">
        <f t="shared" si="4"/>
        <v>6</v>
      </c>
      <c r="G29" s="44">
        <f t="shared" si="8"/>
        <v>129166.6666666667</v>
      </c>
      <c r="I29" s="71"/>
    </row>
    <row r="30" spans="1:9" x14ac:dyDescent="0.25">
      <c r="A30" s="8">
        <v>11</v>
      </c>
      <c r="B30" s="44">
        <f t="shared" si="5"/>
        <v>108333.33333333334</v>
      </c>
      <c r="C30" s="44">
        <f t="shared" si="6"/>
        <v>4166.666666666667</v>
      </c>
      <c r="D30" s="44">
        <f t="shared" si="7"/>
        <v>104166.66666666667</v>
      </c>
      <c r="F30" s="8">
        <f t="shared" si="4"/>
        <v>6</v>
      </c>
      <c r="G30" s="44">
        <f t="shared" si="8"/>
        <v>125000.00000000003</v>
      </c>
    </row>
    <row r="31" spans="1:9" x14ac:dyDescent="0.25">
      <c r="A31" s="8">
        <v>12</v>
      </c>
      <c r="B31" s="44">
        <f t="shared" si="5"/>
        <v>104166.66666666667</v>
      </c>
      <c r="C31" s="44">
        <f t="shared" si="6"/>
        <v>4166.666666666667</v>
      </c>
      <c r="D31" s="44">
        <f t="shared" si="7"/>
        <v>100000</v>
      </c>
      <c r="F31" s="8">
        <f t="shared" si="4"/>
        <v>7</v>
      </c>
      <c r="G31" s="44">
        <f t="shared" si="8"/>
        <v>125000.00000000003</v>
      </c>
    </row>
    <row r="32" spans="1:9" x14ac:dyDescent="0.25">
      <c r="A32" s="8">
        <v>13</v>
      </c>
      <c r="B32" s="44">
        <f t="shared" si="5"/>
        <v>100000</v>
      </c>
      <c r="C32" s="44">
        <f t="shared" si="6"/>
        <v>3333.3333333333335</v>
      </c>
      <c r="D32" s="44">
        <f t="shared" si="7"/>
        <v>96666.666666666672</v>
      </c>
      <c r="F32" s="8">
        <f t="shared" si="4"/>
        <v>7</v>
      </c>
      <c r="G32" s="44">
        <f t="shared" si="8"/>
        <v>120833.33333333336</v>
      </c>
    </row>
    <row r="33" spans="1:7" x14ac:dyDescent="0.25">
      <c r="A33" s="8">
        <v>14</v>
      </c>
      <c r="B33" s="44">
        <f t="shared" si="5"/>
        <v>96666.666666666672</v>
      </c>
      <c r="C33" s="44">
        <f t="shared" si="6"/>
        <v>3333.3333333333335</v>
      </c>
      <c r="D33" s="44">
        <f t="shared" si="7"/>
        <v>93333.333333333343</v>
      </c>
      <c r="F33" s="8">
        <f t="shared" si="4"/>
        <v>8</v>
      </c>
      <c r="G33" s="44">
        <f t="shared" si="8"/>
        <v>120833.33333333336</v>
      </c>
    </row>
    <row r="34" spans="1:7" x14ac:dyDescent="0.25">
      <c r="A34" s="8">
        <v>15</v>
      </c>
      <c r="B34" s="44">
        <f t="shared" si="5"/>
        <v>93333.333333333343</v>
      </c>
      <c r="C34" s="44">
        <f t="shared" si="6"/>
        <v>3333.3333333333335</v>
      </c>
      <c r="D34" s="44">
        <f t="shared" si="7"/>
        <v>90000.000000000015</v>
      </c>
      <c r="F34" s="8">
        <f t="shared" si="4"/>
        <v>8</v>
      </c>
      <c r="G34" s="44">
        <f t="shared" si="8"/>
        <v>116666.66666666669</v>
      </c>
    </row>
    <row r="35" spans="1:7" x14ac:dyDescent="0.25">
      <c r="A35" s="8">
        <v>16</v>
      </c>
      <c r="B35" s="44">
        <f t="shared" si="5"/>
        <v>90000.000000000015</v>
      </c>
      <c r="C35" s="44">
        <f t="shared" si="6"/>
        <v>3333.3333333333335</v>
      </c>
      <c r="D35" s="44">
        <f t="shared" si="7"/>
        <v>86666.666666666686</v>
      </c>
      <c r="F35" s="8">
        <f t="shared" si="4"/>
        <v>9</v>
      </c>
      <c r="G35" s="44">
        <f t="shared" si="8"/>
        <v>116666.66666666669</v>
      </c>
    </row>
    <row r="36" spans="1:7" x14ac:dyDescent="0.25">
      <c r="A36" s="8">
        <v>17</v>
      </c>
      <c r="B36" s="44">
        <f t="shared" si="5"/>
        <v>86666.666666666686</v>
      </c>
      <c r="C36" s="44">
        <f t="shared" si="6"/>
        <v>3333.3333333333335</v>
      </c>
      <c r="D36" s="44">
        <f t="shared" si="7"/>
        <v>83333.333333333358</v>
      </c>
      <c r="F36" s="8">
        <f t="shared" si="4"/>
        <v>9</v>
      </c>
      <c r="G36" s="44">
        <f t="shared" si="8"/>
        <v>112500.00000000001</v>
      </c>
    </row>
    <row r="37" spans="1:7" x14ac:dyDescent="0.25">
      <c r="A37" s="8">
        <v>18</v>
      </c>
      <c r="B37" s="44">
        <f t="shared" si="5"/>
        <v>83333.333333333358</v>
      </c>
      <c r="C37" s="44">
        <f t="shared" si="6"/>
        <v>3333.3333333333335</v>
      </c>
      <c r="D37" s="44">
        <f t="shared" si="7"/>
        <v>80000.000000000029</v>
      </c>
      <c r="F37" s="8">
        <f t="shared" si="4"/>
        <v>10</v>
      </c>
      <c r="G37" s="44">
        <f t="shared" si="8"/>
        <v>112500.00000000001</v>
      </c>
    </row>
    <row r="38" spans="1:7" x14ac:dyDescent="0.25">
      <c r="A38" s="8">
        <v>19</v>
      </c>
      <c r="B38" s="44">
        <f t="shared" si="5"/>
        <v>80000.000000000029</v>
      </c>
      <c r="C38" s="44">
        <f t="shared" si="6"/>
        <v>3333.3333333333335</v>
      </c>
      <c r="D38" s="44">
        <f t="shared" si="7"/>
        <v>76666.666666666701</v>
      </c>
      <c r="F38" s="8">
        <f t="shared" si="4"/>
        <v>10</v>
      </c>
      <c r="G38" s="44">
        <f t="shared" si="8"/>
        <v>108333.33333333334</v>
      </c>
    </row>
    <row r="39" spans="1:7" x14ac:dyDescent="0.25">
      <c r="A39" s="8">
        <v>20</v>
      </c>
      <c r="B39" s="44">
        <f t="shared" si="5"/>
        <v>76666.666666666701</v>
      </c>
      <c r="C39" s="44">
        <f t="shared" si="6"/>
        <v>3333.3333333333335</v>
      </c>
      <c r="D39" s="44">
        <f t="shared" si="7"/>
        <v>73333.333333333372</v>
      </c>
      <c r="F39" s="8">
        <f t="shared" si="4"/>
        <v>11</v>
      </c>
      <c r="G39" s="44">
        <f t="shared" si="8"/>
        <v>108333.33333333334</v>
      </c>
    </row>
    <row r="40" spans="1:7" x14ac:dyDescent="0.25">
      <c r="A40" s="8">
        <v>21</v>
      </c>
      <c r="B40" s="44">
        <f t="shared" si="5"/>
        <v>73333.333333333372</v>
      </c>
      <c r="C40" s="44">
        <f t="shared" si="6"/>
        <v>3333.3333333333335</v>
      </c>
      <c r="D40" s="44">
        <f t="shared" si="7"/>
        <v>70000.000000000044</v>
      </c>
      <c r="F40" s="8">
        <f t="shared" si="4"/>
        <v>11</v>
      </c>
      <c r="G40" s="44">
        <f t="shared" si="8"/>
        <v>104166.66666666667</v>
      </c>
    </row>
    <row r="41" spans="1:7" x14ac:dyDescent="0.25">
      <c r="A41" s="8">
        <v>22</v>
      </c>
      <c r="B41" s="44">
        <f t="shared" si="5"/>
        <v>70000.000000000044</v>
      </c>
      <c r="C41" s="44">
        <f t="shared" si="6"/>
        <v>3333.3333333333335</v>
      </c>
      <c r="D41" s="44">
        <f t="shared" si="7"/>
        <v>66666.666666666715</v>
      </c>
      <c r="F41" s="8">
        <f t="shared" si="4"/>
        <v>12</v>
      </c>
      <c r="G41" s="44">
        <f t="shared" si="8"/>
        <v>104166.66666666667</v>
      </c>
    </row>
    <row r="42" spans="1:7" x14ac:dyDescent="0.25">
      <c r="A42" s="8">
        <v>23</v>
      </c>
      <c r="B42" s="44">
        <f t="shared" si="5"/>
        <v>66666.666666666715</v>
      </c>
      <c r="C42" s="44">
        <f t="shared" si="6"/>
        <v>3333.3333333333335</v>
      </c>
      <c r="D42" s="44">
        <f t="shared" si="7"/>
        <v>63333.333333333379</v>
      </c>
      <c r="F42" s="8">
        <f t="shared" si="4"/>
        <v>12</v>
      </c>
      <c r="G42" s="44">
        <f t="shared" si="8"/>
        <v>100000</v>
      </c>
    </row>
    <row r="43" spans="1:7" x14ac:dyDescent="0.25">
      <c r="A43" s="8">
        <v>24</v>
      </c>
      <c r="B43" s="44">
        <f t="shared" si="5"/>
        <v>63333.333333333379</v>
      </c>
      <c r="C43" s="44">
        <f t="shared" si="6"/>
        <v>3333.3333333333335</v>
      </c>
      <c r="D43" s="44">
        <f t="shared" si="7"/>
        <v>60000.000000000044</v>
      </c>
      <c r="F43" s="8">
        <f t="shared" si="4"/>
        <v>13</v>
      </c>
      <c r="G43" s="44">
        <f t="shared" si="8"/>
        <v>100000</v>
      </c>
    </row>
    <row r="44" spans="1:7" x14ac:dyDescent="0.25">
      <c r="A44" s="8">
        <v>25</v>
      </c>
      <c r="B44" s="44">
        <f t="shared" si="5"/>
        <v>60000.000000000044</v>
      </c>
      <c r="C44" s="44">
        <f t="shared" si="6"/>
        <v>2500</v>
      </c>
      <c r="D44" s="44">
        <f t="shared" si="7"/>
        <v>57500.000000000044</v>
      </c>
      <c r="F44" s="8">
        <f t="shared" si="4"/>
        <v>13</v>
      </c>
      <c r="G44" s="44">
        <f t="shared" si="8"/>
        <v>96666.666666666672</v>
      </c>
    </row>
    <row r="45" spans="1:7" x14ac:dyDescent="0.25">
      <c r="A45" s="8">
        <v>26</v>
      </c>
      <c r="B45" s="44">
        <f t="shared" si="5"/>
        <v>57500.000000000044</v>
      </c>
      <c r="C45" s="44">
        <f t="shared" si="6"/>
        <v>2500</v>
      </c>
      <c r="D45" s="44">
        <f t="shared" si="7"/>
        <v>55000.000000000044</v>
      </c>
      <c r="F45" s="8">
        <f t="shared" si="4"/>
        <v>14</v>
      </c>
      <c r="G45" s="44">
        <f t="shared" si="8"/>
        <v>96666.666666666672</v>
      </c>
    </row>
    <row r="46" spans="1:7" x14ac:dyDescent="0.25">
      <c r="A46" s="8">
        <v>27</v>
      </c>
      <c r="B46" s="44">
        <f t="shared" si="5"/>
        <v>55000.000000000044</v>
      </c>
      <c r="C46" s="44">
        <f t="shared" si="6"/>
        <v>2500</v>
      </c>
      <c r="D46" s="44">
        <f t="shared" si="7"/>
        <v>52500.000000000044</v>
      </c>
      <c r="F46" s="8">
        <f t="shared" si="4"/>
        <v>14</v>
      </c>
      <c r="G46" s="44">
        <f t="shared" si="8"/>
        <v>93333.333333333343</v>
      </c>
    </row>
    <row r="47" spans="1:7" x14ac:dyDescent="0.25">
      <c r="A47" s="8">
        <v>28</v>
      </c>
      <c r="B47" s="44">
        <f t="shared" si="5"/>
        <v>52500.000000000044</v>
      </c>
      <c r="C47" s="44">
        <f t="shared" si="6"/>
        <v>2500</v>
      </c>
      <c r="D47" s="44">
        <f t="shared" si="7"/>
        <v>50000.000000000044</v>
      </c>
      <c r="F47" s="8">
        <f t="shared" si="4"/>
        <v>15</v>
      </c>
      <c r="G47" s="44">
        <f t="shared" si="8"/>
        <v>93333.333333333343</v>
      </c>
    </row>
    <row r="48" spans="1:7" x14ac:dyDescent="0.25">
      <c r="A48" s="8">
        <v>29</v>
      </c>
      <c r="B48" s="44">
        <f t="shared" si="5"/>
        <v>50000.000000000044</v>
      </c>
      <c r="C48" s="44">
        <f t="shared" si="6"/>
        <v>2500</v>
      </c>
      <c r="D48" s="44">
        <f t="shared" si="7"/>
        <v>47500.000000000044</v>
      </c>
      <c r="F48" s="8">
        <f t="shared" si="4"/>
        <v>15</v>
      </c>
      <c r="G48" s="44">
        <f t="shared" si="8"/>
        <v>90000.000000000015</v>
      </c>
    </row>
    <row r="49" spans="1:7" x14ac:dyDescent="0.25">
      <c r="A49" s="8">
        <v>30</v>
      </c>
      <c r="B49" s="44">
        <f t="shared" si="5"/>
        <v>47500.000000000044</v>
      </c>
      <c r="C49" s="44">
        <f t="shared" si="6"/>
        <v>2500</v>
      </c>
      <c r="D49" s="44">
        <f t="shared" si="7"/>
        <v>45000.000000000044</v>
      </c>
      <c r="F49" s="8">
        <f t="shared" si="4"/>
        <v>16</v>
      </c>
      <c r="G49" s="44">
        <f t="shared" si="8"/>
        <v>90000.000000000015</v>
      </c>
    </row>
    <row r="50" spans="1:7" x14ac:dyDescent="0.25">
      <c r="A50" s="8">
        <v>31</v>
      </c>
      <c r="B50" s="44">
        <f t="shared" si="5"/>
        <v>45000.000000000044</v>
      </c>
      <c r="C50" s="44">
        <f t="shared" si="6"/>
        <v>2500</v>
      </c>
      <c r="D50" s="44">
        <f t="shared" si="7"/>
        <v>42500.000000000044</v>
      </c>
      <c r="F50" s="8">
        <f t="shared" si="4"/>
        <v>16</v>
      </c>
      <c r="G50" s="44">
        <f t="shared" si="8"/>
        <v>86666.666666666686</v>
      </c>
    </row>
    <row r="51" spans="1:7" x14ac:dyDescent="0.25">
      <c r="A51" s="8">
        <v>32</v>
      </c>
      <c r="B51" s="44">
        <f t="shared" si="5"/>
        <v>42500.000000000044</v>
      </c>
      <c r="C51" s="44">
        <f t="shared" si="6"/>
        <v>2500</v>
      </c>
      <c r="D51" s="44">
        <f t="shared" si="7"/>
        <v>40000.000000000044</v>
      </c>
      <c r="F51" s="8">
        <f t="shared" si="4"/>
        <v>17</v>
      </c>
      <c r="G51" s="44">
        <f t="shared" si="8"/>
        <v>86666.666666666686</v>
      </c>
    </row>
    <row r="52" spans="1:7" x14ac:dyDescent="0.25">
      <c r="A52" s="8">
        <v>33</v>
      </c>
      <c r="B52" s="44">
        <f t="shared" si="5"/>
        <v>40000.000000000044</v>
      </c>
      <c r="C52" s="44">
        <f t="shared" si="6"/>
        <v>2500</v>
      </c>
      <c r="D52" s="44">
        <f t="shared" si="7"/>
        <v>37500.000000000044</v>
      </c>
      <c r="F52" s="8">
        <f t="shared" si="4"/>
        <v>17</v>
      </c>
      <c r="G52" s="44">
        <f t="shared" si="8"/>
        <v>83333.333333333358</v>
      </c>
    </row>
    <row r="53" spans="1:7" x14ac:dyDescent="0.25">
      <c r="A53" s="8">
        <v>34</v>
      </c>
      <c r="B53" s="44">
        <f t="shared" si="5"/>
        <v>37500.000000000044</v>
      </c>
      <c r="C53" s="44">
        <f t="shared" si="6"/>
        <v>2500</v>
      </c>
      <c r="D53" s="44">
        <f t="shared" si="7"/>
        <v>35000.000000000044</v>
      </c>
      <c r="F53" s="8">
        <f t="shared" si="4"/>
        <v>18</v>
      </c>
      <c r="G53" s="44">
        <f t="shared" si="8"/>
        <v>83333.333333333358</v>
      </c>
    </row>
    <row r="54" spans="1:7" x14ac:dyDescent="0.25">
      <c r="A54" s="8">
        <v>35</v>
      </c>
      <c r="B54" s="44">
        <f t="shared" si="5"/>
        <v>35000.000000000044</v>
      </c>
      <c r="C54" s="44">
        <f t="shared" si="6"/>
        <v>2500</v>
      </c>
      <c r="D54" s="44">
        <f t="shared" si="7"/>
        <v>32500.000000000044</v>
      </c>
      <c r="F54" s="8">
        <f t="shared" si="4"/>
        <v>18</v>
      </c>
      <c r="G54" s="44">
        <f t="shared" si="8"/>
        <v>80000.000000000029</v>
      </c>
    </row>
    <row r="55" spans="1:7" x14ac:dyDescent="0.25">
      <c r="A55" s="8">
        <v>36</v>
      </c>
      <c r="B55" s="44">
        <f t="shared" si="5"/>
        <v>32500.000000000044</v>
      </c>
      <c r="C55" s="44">
        <f t="shared" si="6"/>
        <v>2500</v>
      </c>
      <c r="D55" s="44">
        <f t="shared" si="7"/>
        <v>30000.000000000044</v>
      </c>
      <c r="F55" s="8">
        <f t="shared" si="4"/>
        <v>19</v>
      </c>
      <c r="G55" s="44">
        <f t="shared" si="8"/>
        <v>80000.000000000029</v>
      </c>
    </row>
    <row r="56" spans="1:7" x14ac:dyDescent="0.25">
      <c r="A56" s="8">
        <v>37</v>
      </c>
      <c r="B56" s="44">
        <f t="shared" si="5"/>
        <v>30000.000000000044</v>
      </c>
      <c r="C56" s="44">
        <f t="shared" si="6"/>
        <v>1666.6666666666667</v>
      </c>
      <c r="D56" s="44">
        <f t="shared" si="7"/>
        <v>28333.333333333376</v>
      </c>
      <c r="F56" s="8">
        <f t="shared" si="4"/>
        <v>19</v>
      </c>
      <c r="G56" s="44">
        <f t="shared" si="8"/>
        <v>76666.666666666701</v>
      </c>
    </row>
    <row r="57" spans="1:7" x14ac:dyDescent="0.25">
      <c r="A57" s="8">
        <v>38</v>
      </c>
      <c r="B57" s="44">
        <f t="shared" si="5"/>
        <v>28333.333333333376</v>
      </c>
      <c r="C57" s="44">
        <f t="shared" si="6"/>
        <v>1666.6666666666667</v>
      </c>
      <c r="D57" s="44">
        <f t="shared" si="7"/>
        <v>26666.666666666708</v>
      </c>
      <c r="F57" s="8">
        <f t="shared" si="4"/>
        <v>20</v>
      </c>
      <c r="G57" s="44">
        <f t="shared" si="8"/>
        <v>76666.666666666701</v>
      </c>
    </row>
    <row r="58" spans="1:7" x14ac:dyDescent="0.25">
      <c r="A58" s="8">
        <v>39</v>
      </c>
      <c r="B58" s="44">
        <f t="shared" si="5"/>
        <v>26666.666666666708</v>
      </c>
      <c r="C58" s="44">
        <f t="shared" si="6"/>
        <v>1666.6666666666667</v>
      </c>
      <c r="D58" s="44">
        <f t="shared" si="7"/>
        <v>25000.00000000004</v>
      </c>
      <c r="F58" s="8">
        <f t="shared" si="4"/>
        <v>20</v>
      </c>
      <c r="G58" s="44">
        <f t="shared" si="8"/>
        <v>73333.333333333372</v>
      </c>
    </row>
    <row r="59" spans="1:7" x14ac:dyDescent="0.25">
      <c r="A59" s="8">
        <v>40</v>
      </c>
      <c r="B59" s="44">
        <f t="shared" si="5"/>
        <v>25000.00000000004</v>
      </c>
      <c r="C59" s="44">
        <f t="shared" si="6"/>
        <v>1666.6666666666667</v>
      </c>
      <c r="D59" s="44">
        <f t="shared" si="7"/>
        <v>23333.333333333372</v>
      </c>
      <c r="F59" s="8">
        <f t="shared" si="4"/>
        <v>21</v>
      </c>
      <c r="G59" s="44">
        <f t="shared" si="8"/>
        <v>73333.333333333372</v>
      </c>
    </row>
    <row r="60" spans="1:7" x14ac:dyDescent="0.25">
      <c r="A60" s="8">
        <v>41</v>
      </c>
      <c r="B60" s="44">
        <f t="shared" si="5"/>
        <v>23333.333333333372</v>
      </c>
      <c r="C60" s="44">
        <f t="shared" si="6"/>
        <v>1666.6666666666667</v>
      </c>
      <c r="D60" s="44">
        <f t="shared" si="7"/>
        <v>21666.666666666704</v>
      </c>
      <c r="F60" s="8">
        <f t="shared" si="4"/>
        <v>21</v>
      </c>
      <c r="G60" s="44">
        <f t="shared" si="8"/>
        <v>70000.000000000044</v>
      </c>
    </row>
    <row r="61" spans="1:7" x14ac:dyDescent="0.25">
      <c r="A61" s="8">
        <v>42</v>
      </c>
      <c r="B61" s="44">
        <f t="shared" si="5"/>
        <v>21666.666666666704</v>
      </c>
      <c r="C61" s="44">
        <f t="shared" si="6"/>
        <v>1666.6666666666667</v>
      </c>
      <c r="D61" s="44">
        <f t="shared" si="7"/>
        <v>20000.000000000036</v>
      </c>
      <c r="F61" s="8">
        <f t="shared" si="4"/>
        <v>22</v>
      </c>
      <c r="G61" s="44">
        <f t="shared" si="8"/>
        <v>70000.000000000044</v>
      </c>
    </row>
    <row r="62" spans="1:7" x14ac:dyDescent="0.25">
      <c r="A62" s="8">
        <v>43</v>
      </c>
      <c r="B62" s="44">
        <f t="shared" si="5"/>
        <v>20000.000000000036</v>
      </c>
      <c r="C62" s="44">
        <f t="shared" si="6"/>
        <v>1666.6666666666667</v>
      </c>
      <c r="D62" s="44">
        <f t="shared" si="7"/>
        <v>18333.333333333369</v>
      </c>
      <c r="F62" s="8">
        <f t="shared" si="4"/>
        <v>22</v>
      </c>
      <c r="G62" s="44">
        <f t="shared" si="8"/>
        <v>66666.666666666715</v>
      </c>
    </row>
    <row r="63" spans="1:7" x14ac:dyDescent="0.25">
      <c r="A63" s="8">
        <v>44</v>
      </c>
      <c r="B63" s="44">
        <f t="shared" si="5"/>
        <v>18333.333333333369</v>
      </c>
      <c r="C63" s="44">
        <f t="shared" si="6"/>
        <v>1666.6666666666667</v>
      </c>
      <c r="D63" s="44">
        <f t="shared" si="7"/>
        <v>16666.666666666701</v>
      </c>
      <c r="F63" s="8">
        <f t="shared" si="4"/>
        <v>23</v>
      </c>
      <c r="G63" s="44">
        <f t="shared" si="8"/>
        <v>66666.666666666715</v>
      </c>
    </row>
    <row r="64" spans="1:7" x14ac:dyDescent="0.25">
      <c r="A64" s="8">
        <v>45</v>
      </c>
      <c r="B64" s="44">
        <f t="shared" si="5"/>
        <v>16666.666666666701</v>
      </c>
      <c r="C64" s="44">
        <f t="shared" si="6"/>
        <v>1666.6666666666667</v>
      </c>
      <c r="D64" s="44">
        <f t="shared" si="7"/>
        <v>15000.000000000035</v>
      </c>
      <c r="F64" s="8">
        <f t="shared" si="4"/>
        <v>23</v>
      </c>
      <c r="G64" s="44">
        <f t="shared" si="8"/>
        <v>63333.333333333379</v>
      </c>
    </row>
    <row r="65" spans="1:7" x14ac:dyDescent="0.25">
      <c r="A65" s="8">
        <v>46</v>
      </c>
      <c r="B65" s="44">
        <f t="shared" si="5"/>
        <v>15000.000000000035</v>
      </c>
      <c r="C65" s="44">
        <f t="shared" si="6"/>
        <v>1666.6666666666667</v>
      </c>
      <c r="D65" s="44">
        <f t="shared" si="7"/>
        <v>13333.333333333369</v>
      </c>
      <c r="F65" s="8">
        <f t="shared" si="4"/>
        <v>24</v>
      </c>
      <c r="G65" s="44">
        <f t="shared" si="8"/>
        <v>63333.333333333379</v>
      </c>
    </row>
    <row r="66" spans="1:7" x14ac:dyDescent="0.25">
      <c r="A66" s="8">
        <v>47</v>
      </c>
      <c r="B66" s="44">
        <f t="shared" si="5"/>
        <v>13333.333333333369</v>
      </c>
      <c r="C66" s="44">
        <f t="shared" si="6"/>
        <v>1666.6666666666667</v>
      </c>
      <c r="D66" s="44">
        <f t="shared" si="7"/>
        <v>11666.666666666702</v>
      </c>
      <c r="F66" s="8">
        <f t="shared" si="4"/>
        <v>24</v>
      </c>
      <c r="G66" s="44">
        <f t="shared" si="8"/>
        <v>60000.000000000044</v>
      </c>
    </row>
    <row r="67" spans="1:7" x14ac:dyDescent="0.25">
      <c r="A67" s="8">
        <v>48</v>
      </c>
      <c r="B67" s="44">
        <f t="shared" si="5"/>
        <v>11666.666666666702</v>
      </c>
      <c r="C67" s="44">
        <f t="shared" si="6"/>
        <v>1666.6666666666667</v>
      </c>
      <c r="D67" s="44">
        <f t="shared" si="7"/>
        <v>10000.000000000036</v>
      </c>
      <c r="F67" s="8">
        <f t="shared" si="4"/>
        <v>25</v>
      </c>
      <c r="G67" s="44">
        <f t="shared" si="8"/>
        <v>60000.000000000044</v>
      </c>
    </row>
    <row r="68" spans="1:7" x14ac:dyDescent="0.25">
      <c r="A68" s="8">
        <v>49</v>
      </c>
      <c r="B68" s="44">
        <f t="shared" si="5"/>
        <v>10000.000000000036</v>
      </c>
      <c r="C68" s="44">
        <f t="shared" si="6"/>
        <v>833.33333333333337</v>
      </c>
      <c r="D68" s="44">
        <f t="shared" si="7"/>
        <v>9166.6666666667024</v>
      </c>
      <c r="F68" s="8">
        <f t="shared" si="4"/>
        <v>25</v>
      </c>
      <c r="G68" s="44">
        <f t="shared" si="8"/>
        <v>57500.000000000044</v>
      </c>
    </row>
    <row r="69" spans="1:7" x14ac:dyDescent="0.25">
      <c r="A69" s="8">
        <v>50</v>
      </c>
      <c r="B69" s="44">
        <f t="shared" si="5"/>
        <v>9166.6666666667024</v>
      </c>
      <c r="C69" s="44">
        <f t="shared" si="6"/>
        <v>833.33333333333337</v>
      </c>
      <c r="D69" s="44">
        <f t="shared" si="7"/>
        <v>8333.3333333333685</v>
      </c>
      <c r="F69" s="8">
        <f t="shared" si="4"/>
        <v>26</v>
      </c>
      <c r="G69" s="44">
        <f t="shared" si="8"/>
        <v>57500.000000000044</v>
      </c>
    </row>
    <row r="70" spans="1:7" x14ac:dyDescent="0.25">
      <c r="A70" s="8">
        <v>51</v>
      </c>
      <c r="B70" s="44">
        <f t="shared" si="5"/>
        <v>8333.3333333333685</v>
      </c>
      <c r="C70" s="44">
        <f t="shared" si="6"/>
        <v>833.33333333333337</v>
      </c>
      <c r="D70" s="44">
        <f t="shared" si="7"/>
        <v>7500.0000000000355</v>
      </c>
      <c r="F70" s="8">
        <f t="shared" si="4"/>
        <v>26</v>
      </c>
      <c r="G70" s="44">
        <f t="shared" si="8"/>
        <v>55000.000000000044</v>
      </c>
    </row>
    <row r="71" spans="1:7" x14ac:dyDescent="0.25">
      <c r="A71" s="8">
        <v>52</v>
      </c>
      <c r="B71" s="44">
        <f t="shared" si="5"/>
        <v>7500.0000000000355</v>
      </c>
      <c r="C71" s="44">
        <f t="shared" si="6"/>
        <v>833.33333333333337</v>
      </c>
      <c r="D71" s="44">
        <f t="shared" si="7"/>
        <v>6666.6666666667024</v>
      </c>
      <c r="F71" s="8">
        <f t="shared" si="4"/>
        <v>27</v>
      </c>
      <c r="G71" s="44">
        <f t="shared" si="8"/>
        <v>55000.000000000044</v>
      </c>
    </row>
    <row r="72" spans="1:7" x14ac:dyDescent="0.25">
      <c r="A72" s="8">
        <v>53</v>
      </c>
      <c r="B72" s="44">
        <f t="shared" si="5"/>
        <v>6666.6666666667024</v>
      </c>
      <c r="C72" s="44">
        <f t="shared" si="6"/>
        <v>833.33333333333337</v>
      </c>
      <c r="D72" s="44">
        <f t="shared" si="7"/>
        <v>5833.3333333333694</v>
      </c>
      <c r="F72" s="8">
        <f t="shared" si="4"/>
        <v>27</v>
      </c>
      <c r="G72" s="44">
        <f t="shared" si="8"/>
        <v>52500.000000000044</v>
      </c>
    </row>
    <row r="73" spans="1:7" x14ac:dyDescent="0.25">
      <c r="A73" s="8">
        <v>54</v>
      </c>
      <c r="B73" s="44">
        <f t="shared" si="5"/>
        <v>5833.3333333333694</v>
      </c>
      <c r="C73" s="44">
        <f t="shared" si="6"/>
        <v>833.33333333333337</v>
      </c>
      <c r="D73" s="44">
        <f t="shared" si="7"/>
        <v>5000.0000000000364</v>
      </c>
      <c r="F73" s="8">
        <f t="shared" si="4"/>
        <v>28</v>
      </c>
      <c r="G73" s="44">
        <f t="shared" si="8"/>
        <v>52500.000000000044</v>
      </c>
    </row>
    <row r="74" spans="1:7" x14ac:dyDescent="0.25">
      <c r="A74" s="8">
        <v>55</v>
      </c>
      <c r="B74" s="44">
        <f t="shared" si="5"/>
        <v>5000.0000000000364</v>
      </c>
      <c r="C74" s="44">
        <f t="shared" si="6"/>
        <v>833.33333333333337</v>
      </c>
      <c r="D74" s="44">
        <f t="shared" si="7"/>
        <v>4166.6666666667033</v>
      </c>
      <c r="F74" s="8">
        <f t="shared" si="4"/>
        <v>28</v>
      </c>
      <c r="G74" s="44">
        <f t="shared" si="8"/>
        <v>50000.000000000044</v>
      </c>
    </row>
    <row r="75" spans="1:7" x14ac:dyDescent="0.25">
      <c r="A75" s="8">
        <v>56</v>
      </c>
      <c r="B75" s="44">
        <f t="shared" si="5"/>
        <v>4166.6666666667033</v>
      </c>
      <c r="C75" s="44">
        <f t="shared" si="6"/>
        <v>833.33333333333337</v>
      </c>
      <c r="D75" s="44">
        <f t="shared" si="7"/>
        <v>3333.3333333333699</v>
      </c>
      <c r="F75" s="8">
        <f t="shared" si="4"/>
        <v>29</v>
      </c>
      <c r="G75" s="44">
        <f t="shared" si="8"/>
        <v>50000.000000000044</v>
      </c>
    </row>
    <row r="76" spans="1:7" x14ac:dyDescent="0.25">
      <c r="A76" s="8">
        <v>57</v>
      </c>
      <c r="B76" s="44">
        <f t="shared" si="5"/>
        <v>3333.3333333333699</v>
      </c>
      <c r="C76" s="44">
        <f t="shared" si="6"/>
        <v>833.33333333333337</v>
      </c>
      <c r="D76" s="44">
        <f t="shared" si="7"/>
        <v>2500.0000000000364</v>
      </c>
      <c r="F76" s="8">
        <f t="shared" si="4"/>
        <v>29</v>
      </c>
      <c r="G76" s="44">
        <f t="shared" si="8"/>
        <v>47500.000000000044</v>
      </c>
    </row>
    <row r="77" spans="1:7" x14ac:dyDescent="0.25">
      <c r="A77" s="8">
        <v>58</v>
      </c>
      <c r="B77" s="44">
        <f t="shared" si="5"/>
        <v>2500.0000000000364</v>
      </c>
      <c r="C77" s="44">
        <f t="shared" si="6"/>
        <v>833.33333333333337</v>
      </c>
      <c r="D77" s="44">
        <f t="shared" si="7"/>
        <v>1666.6666666667029</v>
      </c>
      <c r="F77" s="8">
        <f t="shared" si="4"/>
        <v>30</v>
      </c>
      <c r="G77" s="44">
        <f t="shared" si="8"/>
        <v>47500.000000000044</v>
      </c>
    </row>
    <row r="78" spans="1:7" x14ac:dyDescent="0.25">
      <c r="A78" s="8">
        <v>59</v>
      </c>
      <c r="B78" s="44">
        <f t="shared" si="5"/>
        <v>1666.6666666667029</v>
      </c>
      <c r="C78" s="44">
        <f t="shared" si="6"/>
        <v>833.33333333333337</v>
      </c>
      <c r="D78" s="44">
        <f t="shared" si="7"/>
        <v>833.33333333336952</v>
      </c>
      <c r="F78" s="8">
        <f t="shared" si="4"/>
        <v>30</v>
      </c>
      <c r="G78" s="44">
        <f t="shared" si="8"/>
        <v>45000.000000000044</v>
      </c>
    </row>
    <row r="79" spans="1:7" x14ac:dyDescent="0.25">
      <c r="A79" s="8">
        <v>60</v>
      </c>
      <c r="B79" s="44">
        <f t="shared" si="5"/>
        <v>833.33333333336952</v>
      </c>
      <c r="C79" s="44">
        <f t="shared" si="6"/>
        <v>833.33333333333337</v>
      </c>
      <c r="D79" s="44">
        <f t="shared" si="7"/>
        <v>3.6152414395473897E-11</v>
      </c>
      <c r="F79" s="8">
        <f t="shared" si="4"/>
        <v>31</v>
      </c>
      <c r="G79" s="44">
        <f t="shared" si="8"/>
        <v>45000.000000000044</v>
      </c>
    </row>
    <row r="80" spans="1:7" x14ac:dyDescent="0.25">
      <c r="D80" s="42"/>
      <c r="F80" s="8">
        <f t="shared" si="4"/>
        <v>31</v>
      </c>
      <c r="G80" s="44">
        <f t="shared" si="8"/>
        <v>42500.000000000044</v>
      </c>
    </row>
    <row r="81" spans="4:7" x14ac:dyDescent="0.25">
      <c r="D81" s="42"/>
      <c r="F81" s="8">
        <f t="shared" si="4"/>
        <v>32</v>
      </c>
      <c r="G81" s="44">
        <f t="shared" si="8"/>
        <v>42500.000000000044</v>
      </c>
    </row>
    <row r="82" spans="4:7" x14ac:dyDescent="0.25">
      <c r="D82" s="42"/>
      <c r="F82" s="8">
        <f t="shared" si="4"/>
        <v>32</v>
      </c>
      <c r="G82" s="44">
        <f t="shared" si="8"/>
        <v>40000.000000000044</v>
      </c>
    </row>
    <row r="83" spans="4:7" x14ac:dyDescent="0.25">
      <c r="D83" s="42"/>
      <c r="F83" s="8">
        <f t="shared" si="4"/>
        <v>33</v>
      </c>
      <c r="G83" s="44">
        <f t="shared" si="8"/>
        <v>40000.000000000044</v>
      </c>
    </row>
    <row r="84" spans="4:7" x14ac:dyDescent="0.25">
      <c r="D84" s="42"/>
      <c r="F84" s="8">
        <f t="shared" ref="F84:F139" si="9">INT((ROW()-ROW(F$19))/2)+1</f>
        <v>33</v>
      </c>
      <c r="G84" s="44">
        <f t="shared" si="8"/>
        <v>37500.000000000044</v>
      </c>
    </row>
    <row r="85" spans="4:7" x14ac:dyDescent="0.25">
      <c r="D85" s="42"/>
      <c r="F85" s="8">
        <f t="shared" si="9"/>
        <v>34</v>
      </c>
      <c r="G85" s="44">
        <f t="shared" si="8"/>
        <v>37500.000000000044</v>
      </c>
    </row>
    <row r="86" spans="4:7" x14ac:dyDescent="0.25">
      <c r="D86" s="42"/>
      <c r="F86" s="8">
        <f t="shared" si="9"/>
        <v>34</v>
      </c>
      <c r="G86" s="44">
        <f t="shared" ref="G86:G91" si="10">INDEX(D$20:D$79,F85)</f>
        <v>35000.000000000044</v>
      </c>
    </row>
    <row r="87" spans="4:7" x14ac:dyDescent="0.25">
      <c r="D87" s="42"/>
      <c r="F87" s="8">
        <f t="shared" si="9"/>
        <v>35</v>
      </c>
      <c r="G87" s="44">
        <f t="shared" si="10"/>
        <v>35000.000000000044</v>
      </c>
    </row>
    <row r="88" spans="4:7" x14ac:dyDescent="0.25">
      <c r="D88" s="42"/>
      <c r="F88" s="8">
        <f t="shared" si="9"/>
        <v>35</v>
      </c>
      <c r="G88" s="44">
        <f t="shared" si="10"/>
        <v>32500.000000000044</v>
      </c>
    </row>
    <row r="89" spans="4:7" x14ac:dyDescent="0.25">
      <c r="D89" s="42"/>
      <c r="F89" s="8">
        <f t="shared" si="9"/>
        <v>36</v>
      </c>
      <c r="G89" s="44">
        <f t="shared" si="10"/>
        <v>32500.000000000044</v>
      </c>
    </row>
    <row r="90" spans="4:7" x14ac:dyDescent="0.25">
      <c r="D90" s="42"/>
      <c r="F90" s="8">
        <f t="shared" si="9"/>
        <v>36</v>
      </c>
      <c r="G90" s="44">
        <f t="shared" si="10"/>
        <v>30000.000000000044</v>
      </c>
    </row>
    <row r="91" spans="4:7" x14ac:dyDescent="0.25">
      <c r="D91" s="42"/>
      <c r="F91" s="8">
        <f t="shared" si="9"/>
        <v>37</v>
      </c>
      <c r="G91" s="44">
        <f t="shared" si="10"/>
        <v>30000.000000000044</v>
      </c>
    </row>
    <row r="92" spans="4:7" x14ac:dyDescent="0.25">
      <c r="D92" s="42"/>
      <c r="F92" s="8">
        <f t="shared" si="9"/>
        <v>37</v>
      </c>
      <c r="G92" s="44">
        <f>INDEX(D$20:D$79,F91)</f>
        <v>28333.333333333376</v>
      </c>
    </row>
    <row r="93" spans="4:7" x14ac:dyDescent="0.25">
      <c r="D93" s="42"/>
      <c r="F93" s="8">
        <f t="shared" si="9"/>
        <v>38</v>
      </c>
      <c r="G93" s="44">
        <f t="shared" ref="G93:G115" si="11">INDEX(D$20:D$79,F92)</f>
        <v>28333.333333333376</v>
      </c>
    </row>
    <row r="94" spans="4:7" x14ac:dyDescent="0.25">
      <c r="D94" s="42"/>
      <c r="F94" s="8">
        <f t="shared" si="9"/>
        <v>38</v>
      </c>
      <c r="G94" s="44">
        <f t="shared" si="11"/>
        <v>26666.666666666708</v>
      </c>
    </row>
    <row r="95" spans="4:7" x14ac:dyDescent="0.25">
      <c r="D95" s="42"/>
      <c r="E95" s="42"/>
      <c r="F95" s="8">
        <f t="shared" si="9"/>
        <v>39</v>
      </c>
      <c r="G95" s="44">
        <f t="shared" si="11"/>
        <v>26666.666666666708</v>
      </c>
    </row>
    <row r="96" spans="4:7" x14ac:dyDescent="0.25">
      <c r="D96" s="42"/>
      <c r="E96" s="42"/>
      <c r="F96" s="8">
        <f t="shared" si="9"/>
        <v>39</v>
      </c>
      <c r="G96" s="44">
        <f t="shared" si="11"/>
        <v>25000.00000000004</v>
      </c>
    </row>
    <row r="97" spans="4:7" x14ac:dyDescent="0.25">
      <c r="D97" s="42"/>
      <c r="E97" s="42"/>
      <c r="F97" s="8">
        <f t="shared" si="9"/>
        <v>40</v>
      </c>
      <c r="G97" s="44">
        <f t="shared" si="11"/>
        <v>25000.00000000004</v>
      </c>
    </row>
    <row r="98" spans="4:7" x14ac:dyDescent="0.25">
      <c r="F98" s="8">
        <f t="shared" si="9"/>
        <v>40</v>
      </c>
      <c r="G98" s="44">
        <f t="shared" si="11"/>
        <v>23333.333333333372</v>
      </c>
    </row>
    <row r="99" spans="4:7" x14ac:dyDescent="0.25">
      <c r="F99" s="8">
        <f t="shared" si="9"/>
        <v>41</v>
      </c>
      <c r="G99" s="44">
        <f t="shared" si="11"/>
        <v>23333.333333333372</v>
      </c>
    </row>
    <row r="100" spans="4:7" x14ac:dyDescent="0.25">
      <c r="F100" s="8">
        <f t="shared" si="9"/>
        <v>41</v>
      </c>
      <c r="G100" s="44">
        <f t="shared" si="11"/>
        <v>21666.666666666704</v>
      </c>
    </row>
    <row r="101" spans="4:7" x14ac:dyDescent="0.25">
      <c r="F101" s="8">
        <f t="shared" si="9"/>
        <v>42</v>
      </c>
      <c r="G101" s="44">
        <f t="shared" si="11"/>
        <v>21666.666666666704</v>
      </c>
    </row>
    <row r="102" spans="4:7" x14ac:dyDescent="0.25">
      <c r="F102" s="8">
        <f t="shared" si="9"/>
        <v>42</v>
      </c>
      <c r="G102" s="44">
        <f t="shared" si="11"/>
        <v>20000.000000000036</v>
      </c>
    </row>
    <row r="103" spans="4:7" x14ac:dyDescent="0.25">
      <c r="F103" s="8">
        <f t="shared" si="9"/>
        <v>43</v>
      </c>
      <c r="G103" s="44">
        <f t="shared" si="11"/>
        <v>20000.000000000036</v>
      </c>
    </row>
    <row r="104" spans="4:7" x14ac:dyDescent="0.25">
      <c r="F104" s="8">
        <f t="shared" si="9"/>
        <v>43</v>
      </c>
      <c r="G104" s="44">
        <f t="shared" si="11"/>
        <v>18333.333333333369</v>
      </c>
    </row>
    <row r="105" spans="4:7" x14ac:dyDescent="0.25">
      <c r="F105" s="8">
        <f t="shared" si="9"/>
        <v>44</v>
      </c>
      <c r="G105" s="44">
        <f t="shared" si="11"/>
        <v>18333.333333333369</v>
      </c>
    </row>
    <row r="106" spans="4:7" x14ac:dyDescent="0.25">
      <c r="F106" s="8">
        <f t="shared" si="9"/>
        <v>44</v>
      </c>
      <c r="G106" s="44">
        <f t="shared" si="11"/>
        <v>16666.666666666701</v>
      </c>
    </row>
    <row r="107" spans="4:7" x14ac:dyDescent="0.25">
      <c r="F107" s="8">
        <f t="shared" si="9"/>
        <v>45</v>
      </c>
      <c r="G107" s="44">
        <f t="shared" si="11"/>
        <v>16666.666666666701</v>
      </c>
    </row>
    <row r="108" spans="4:7" x14ac:dyDescent="0.25">
      <c r="F108" s="8">
        <f t="shared" si="9"/>
        <v>45</v>
      </c>
      <c r="G108" s="44">
        <f t="shared" si="11"/>
        <v>15000.000000000035</v>
      </c>
    </row>
    <row r="109" spans="4:7" x14ac:dyDescent="0.25">
      <c r="F109" s="8">
        <f t="shared" si="9"/>
        <v>46</v>
      </c>
      <c r="G109" s="44">
        <f t="shared" si="11"/>
        <v>15000.000000000035</v>
      </c>
    </row>
    <row r="110" spans="4:7" x14ac:dyDescent="0.25">
      <c r="F110" s="8">
        <f t="shared" si="9"/>
        <v>46</v>
      </c>
      <c r="G110" s="44">
        <f t="shared" si="11"/>
        <v>13333.333333333369</v>
      </c>
    </row>
    <row r="111" spans="4:7" x14ac:dyDescent="0.25">
      <c r="F111" s="8">
        <f t="shared" si="9"/>
        <v>47</v>
      </c>
      <c r="G111" s="44">
        <f t="shared" si="11"/>
        <v>13333.333333333369</v>
      </c>
    </row>
    <row r="112" spans="4:7" x14ac:dyDescent="0.25">
      <c r="F112" s="8">
        <f t="shared" si="9"/>
        <v>47</v>
      </c>
      <c r="G112" s="44">
        <f t="shared" si="11"/>
        <v>11666.666666666702</v>
      </c>
    </row>
    <row r="113" spans="6:7" x14ac:dyDescent="0.25">
      <c r="F113" s="8">
        <f t="shared" si="9"/>
        <v>48</v>
      </c>
      <c r="G113" s="44">
        <f t="shared" si="11"/>
        <v>11666.666666666702</v>
      </c>
    </row>
    <row r="114" spans="6:7" x14ac:dyDescent="0.25">
      <c r="F114" s="8">
        <f t="shared" si="9"/>
        <v>48</v>
      </c>
      <c r="G114" s="44">
        <f t="shared" si="11"/>
        <v>10000.000000000036</v>
      </c>
    </row>
    <row r="115" spans="6:7" x14ac:dyDescent="0.25">
      <c r="F115" s="8">
        <f t="shared" si="9"/>
        <v>49</v>
      </c>
      <c r="G115" s="44">
        <f t="shared" si="11"/>
        <v>10000.000000000036</v>
      </c>
    </row>
    <row r="116" spans="6:7" x14ac:dyDescent="0.25">
      <c r="F116" s="8">
        <f t="shared" si="9"/>
        <v>49</v>
      </c>
      <c r="G116" s="44">
        <f>INDEX(D$20:D$79,F115)</f>
        <v>9166.6666666667024</v>
      </c>
    </row>
    <row r="117" spans="6:7" x14ac:dyDescent="0.25">
      <c r="F117" s="8">
        <f t="shared" si="9"/>
        <v>50</v>
      </c>
      <c r="G117" s="44">
        <f t="shared" ref="G117:G125" si="12">INDEX(D$20:D$79,F116)</f>
        <v>9166.6666666667024</v>
      </c>
    </row>
    <row r="118" spans="6:7" x14ac:dyDescent="0.25">
      <c r="F118" s="8">
        <f t="shared" si="9"/>
        <v>50</v>
      </c>
      <c r="G118" s="44">
        <f t="shared" si="12"/>
        <v>8333.3333333333685</v>
      </c>
    </row>
    <row r="119" spans="6:7" x14ac:dyDescent="0.25">
      <c r="F119" s="8">
        <f t="shared" si="9"/>
        <v>51</v>
      </c>
      <c r="G119" s="44">
        <f t="shared" si="12"/>
        <v>8333.3333333333685</v>
      </c>
    </row>
    <row r="120" spans="6:7" x14ac:dyDescent="0.25">
      <c r="F120" s="8">
        <f t="shared" si="9"/>
        <v>51</v>
      </c>
      <c r="G120" s="44">
        <f t="shared" si="12"/>
        <v>7500.0000000000355</v>
      </c>
    </row>
    <row r="121" spans="6:7" x14ac:dyDescent="0.25">
      <c r="F121" s="8">
        <f t="shared" si="9"/>
        <v>52</v>
      </c>
      <c r="G121" s="44">
        <f t="shared" si="12"/>
        <v>7500.0000000000355</v>
      </c>
    </row>
    <row r="122" spans="6:7" x14ac:dyDescent="0.25">
      <c r="F122" s="8">
        <f t="shared" si="9"/>
        <v>52</v>
      </c>
      <c r="G122" s="44">
        <f t="shared" si="12"/>
        <v>6666.6666666667024</v>
      </c>
    </row>
    <row r="123" spans="6:7" x14ac:dyDescent="0.25">
      <c r="F123" s="8">
        <f t="shared" si="9"/>
        <v>53</v>
      </c>
      <c r="G123" s="44">
        <f t="shared" si="12"/>
        <v>6666.6666666667024</v>
      </c>
    </row>
    <row r="124" spans="6:7" x14ac:dyDescent="0.25">
      <c r="F124" s="8">
        <f t="shared" si="9"/>
        <v>53</v>
      </c>
      <c r="G124" s="44">
        <f t="shared" si="12"/>
        <v>5833.3333333333694</v>
      </c>
    </row>
    <row r="125" spans="6:7" x14ac:dyDescent="0.25">
      <c r="F125" s="8">
        <f t="shared" si="9"/>
        <v>54</v>
      </c>
      <c r="G125" s="44">
        <f t="shared" si="12"/>
        <v>5833.3333333333694</v>
      </c>
    </row>
    <row r="126" spans="6:7" x14ac:dyDescent="0.25">
      <c r="F126" s="8">
        <f t="shared" si="9"/>
        <v>54</v>
      </c>
      <c r="G126" s="44">
        <f>INDEX(D$20:D$79,F125)</f>
        <v>5000.0000000000364</v>
      </c>
    </row>
    <row r="127" spans="6:7" x14ac:dyDescent="0.25">
      <c r="F127" s="8">
        <f t="shared" si="9"/>
        <v>55</v>
      </c>
      <c r="G127" s="44">
        <f t="shared" ref="G127:G131" si="13">INDEX(D$20:D$79,F126)</f>
        <v>5000.0000000000364</v>
      </c>
    </row>
    <row r="128" spans="6:7" x14ac:dyDescent="0.25">
      <c r="F128" s="8">
        <f t="shared" si="9"/>
        <v>55</v>
      </c>
      <c r="G128" s="44">
        <f t="shared" si="13"/>
        <v>4166.6666666667033</v>
      </c>
    </row>
    <row r="129" spans="6:7" x14ac:dyDescent="0.25">
      <c r="F129" s="8">
        <f t="shared" si="9"/>
        <v>56</v>
      </c>
      <c r="G129" s="44">
        <f t="shared" si="13"/>
        <v>4166.6666666667033</v>
      </c>
    </row>
    <row r="130" spans="6:7" x14ac:dyDescent="0.25">
      <c r="F130" s="8">
        <f t="shared" si="9"/>
        <v>56</v>
      </c>
      <c r="G130" s="44">
        <f t="shared" si="13"/>
        <v>3333.3333333333699</v>
      </c>
    </row>
    <row r="131" spans="6:7" x14ac:dyDescent="0.25">
      <c r="F131" s="8">
        <f t="shared" si="9"/>
        <v>57</v>
      </c>
      <c r="G131" s="44">
        <f t="shared" si="13"/>
        <v>3333.3333333333699</v>
      </c>
    </row>
    <row r="132" spans="6:7" x14ac:dyDescent="0.25">
      <c r="F132" s="8">
        <f t="shared" si="9"/>
        <v>57</v>
      </c>
      <c r="G132" s="44">
        <f>INDEX(D$20:D$79,F131)</f>
        <v>2500.0000000000364</v>
      </c>
    </row>
    <row r="133" spans="6:7" x14ac:dyDescent="0.25">
      <c r="F133" s="8">
        <f t="shared" si="9"/>
        <v>58</v>
      </c>
      <c r="G133" s="44">
        <f t="shared" ref="G133:G135" si="14">INDEX(D$20:D$79,F132)</f>
        <v>2500.0000000000364</v>
      </c>
    </row>
    <row r="134" spans="6:7" x14ac:dyDescent="0.25">
      <c r="F134" s="8">
        <f t="shared" si="9"/>
        <v>58</v>
      </c>
      <c r="G134" s="44">
        <f t="shared" si="14"/>
        <v>1666.6666666667029</v>
      </c>
    </row>
    <row r="135" spans="6:7" x14ac:dyDescent="0.25">
      <c r="F135" s="8">
        <f t="shared" si="9"/>
        <v>59</v>
      </c>
      <c r="G135" s="44">
        <f t="shared" si="14"/>
        <v>1666.6666666667029</v>
      </c>
    </row>
    <row r="136" spans="6:7" x14ac:dyDescent="0.25">
      <c r="F136" s="8">
        <f t="shared" si="9"/>
        <v>59</v>
      </c>
      <c r="G136" s="44">
        <f>INDEX(D$20:D$79,F135)</f>
        <v>833.33333333336952</v>
      </c>
    </row>
    <row r="137" spans="6:7" x14ac:dyDescent="0.25">
      <c r="F137" s="8">
        <f t="shared" si="9"/>
        <v>60</v>
      </c>
      <c r="G137" s="44">
        <f t="shared" ref="G137:G138" si="15">INDEX(D$20:D$79,F136)</f>
        <v>833.33333333336952</v>
      </c>
    </row>
    <row r="138" spans="6:7" x14ac:dyDescent="0.25">
      <c r="F138" s="8">
        <f t="shared" si="9"/>
        <v>60</v>
      </c>
      <c r="G138" s="44">
        <f t="shared" si="15"/>
        <v>3.6152414395473897E-11</v>
      </c>
    </row>
    <row r="139" spans="6:7" x14ac:dyDescent="0.25">
      <c r="F139" s="8">
        <f t="shared" si="9"/>
        <v>61</v>
      </c>
      <c r="G139" s="44">
        <f>INDEX(D$20:D$79,F138)</f>
        <v>3.6152414395473897E-11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20"/>
  <sheetViews>
    <sheetView zoomScale="85" zoomScaleNormal="85" workbookViewId="0">
      <selection activeCell="G7" sqref="G7"/>
    </sheetView>
  </sheetViews>
  <sheetFormatPr defaultRowHeight="15" x14ac:dyDescent="0.25"/>
  <cols>
    <col min="1" max="1" width="31.5703125" customWidth="1"/>
    <col min="2" max="2" width="26" customWidth="1"/>
    <col min="3" max="3" width="33.7109375" customWidth="1"/>
    <col min="4" max="4" width="4.5703125" customWidth="1"/>
    <col min="5" max="5" width="21.7109375" customWidth="1"/>
    <col min="6" max="6" width="14" customWidth="1"/>
    <col min="7" max="7" width="11.7109375" customWidth="1"/>
    <col min="9" max="9" width="35" customWidth="1"/>
    <col min="10" max="10" width="24.42578125" customWidth="1"/>
    <col min="11" max="11" width="19.42578125" customWidth="1"/>
    <col min="12" max="12" width="10.85546875" bestFit="1" customWidth="1"/>
  </cols>
  <sheetData>
    <row r="1" spans="1:7" x14ac:dyDescent="0.25">
      <c r="A1" s="28" t="s">
        <v>71</v>
      </c>
    </row>
    <row r="3" spans="1:7" x14ac:dyDescent="0.25">
      <c r="A3" s="7" t="s">
        <v>6</v>
      </c>
      <c r="B3" s="7" t="s">
        <v>3</v>
      </c>
      <c r="C3" s="7" t="s">
        <v>2</v>
      </c>
    </row>
    <row r="4" spans="1:7" ht="30" x14ac:dyDescent="0.25">
      <c r="A4" s="37" t="s">
        <v>23</v>
      </c>
      <c r="B4" s="9">
        <v>55000</v>
      </c>
      <c r="C4" s="8" t="s">
        <v>4</v>
      </c>
    </row>
    <row r="5" spans="1:7" x14ac:dyDescent="0.25">
      <c r="A5" s="37" t="s">
        <v>39</v>
      </c>
      <c r="B5" s="80">
        <v>8.7999999999999995E-2</v>
      </c>
      <c r="C5" s="8"/>
    </row>
    <row r="6" spans="1:7" x14ac:dyDescent="0.25">
      <c r="A6" s="37" t="s">
        <v>96</v>
      </c>
      <c r="B6" s="51" t="s">
        <v>84</v>
      </c>
      <c r="C6" s="8"/>
    </row>
    <row r="8" spans="1:7" ht="45" x14ac:dyDescent="0.25">
      <c r="A8" s="52" t="s">
        <v>40</v>
      </c>
      <c r="B8" s="52" t="s">
        <v>82</v>
      </c>
      <c r="C8" s="52" t="s">
        <v>83</v>
      </c>
      <c r="E8" s="82" t="s">
        <v>97</v>
      </c>
      <c r="F8" s="8">
        <v>22.727272726499507</v>
      </c>
      <c r="G8" s="78"/>
    </row>
    <row r="9" spans="1:7" x14ac:dyDescent="0.25">
      <c r="A9" s="8" t="s">
        <v>84</v>
      </c>
      <c r="B9" s="44">
        <f>B4</f>
        <v>55000</v>
      </c>
      <c r="C9" s="44">
        <v>0</v>
      </c>
      <c r="E9" s="54" t="s">
        <v>99</v>
      </c>
      <c r="F9" s="7" t="s">
        <v>98</v>
      </c>
    </row>
    <row r="10" spans="1:7" x14ac:dyDescent="0.25">
      <c r="A10" s="8" t="s">
        <v>85</v>
      </c>
      <c r="B10" s="44">
        <f>B9-C10</f>
        <v>50160</v>
      </c>
      <c r="C10" s="44">
        <f>B9*$B$5</f>
        <v>4840</v>
      </c>
      <c r="E10" s="81">
        <v>1</v>
      </c>
      <c r="F10" s="58">
        <f>DDB($B$4,,$F$8,E10)</f>
        <v>4840.0000001646649</v>
      </c>
    </row>
    <row r="11" spans="1:7" x14ac:dyDescent="0.25">
      <c r="A11" s="8" t="s">
        <v>86</v>
      </c>
      <c r="B11" s="44">
        <f t="shared" ref="B11:B20" si="0">B10-C11</f>
        <v>45745.919999999998</v>
      </c>
      <c r="C11" s="44">
        <f t="shared" ref="C11:C20" si="1">B10*$B$5</f>
        <v>4414.08</v>
      </c>
      <c r="E11" s="81">
        <v>2</v>
      </c>
      <c r="F11" s="58">
        <f>DDB($B$4,,$F$8,E11)</f>
        <v>4414.0800001356838</v>
      </c>
    </row>
    <row r="12" spans="1:7" x14ac:dyDescent="0.25">
      <c r="A12" s="8" t="s">
        <v>87</v>
      </c>
      <c r="B12" s="44">
        <f t="shared" si="0"/>
        <v>41720.279040000001</v>
      </c>
      <c r="C12" s="44">
        <f t="shared" si="1"/>
        <v>4025.6409599999997</v>
      </c>
      <c r="E12" s="81">
        <v>3</v>
      </c>
      <c r="F12" s="58">
        <f>DDB($B$4,,$F$8,E12)</f>
        <v>4025.6409601105279</v>
      </c>
    </row>
    <row r="13" spans="1:7" x14ac:dyDescent="0.25">
      <c r="A13" s="8" t="s">
        <v>88</v>
      </c>
      <c r="B13" s="44">
        <f t="shared" si="0"/>
        <v>38048.894484479999</v>
      </c>
      <c r="C13" s="44">
        <f t="shared" si="1"/>
        <v>3671.38455552</v>
      </c>
      <c r="E13" s="81">
        <v>4</v>
      </c>
      <c r="F13" s="58">
        <f>DDB($B$4,,$F$8,E13)</f>
        <v>3671.384555608749</v>
      </c>
    </row>
    <row r="14" spans="1:7" x14ac:dyDescent="0.25">
      <c r="A14" s="8" t="s">
        <v>89</v>
      </c>
      <c r="B14" s="44">
        <f t="shared" si="0"/>
        <v>34700.591769845756</v>
      </c>
      <c r="C14" s="44">
        <f t="shared" si="1"/>
        <v>3348.3027146342397</v>
      </c>
      <c r="E14" s="81">
        <v>5</v>
      </c>
      <c r="F14" s="58">
        <f>DDB($B$4,,$F$8,E14)</f>
        <v>3348.3027147041871</v>
      </c>
    </row>
    <row r="15" spans="1:7" x14ac:dyDescent="0.25">
      <c r="A15" s="8" t="s">
        <v>90</v>
      </c>
      <c r="B15" s="44">
        <f t="shared" si="0"/>
        <v>31646.939694099328</v>
      </c>
      <c r="C15" s="44">
        <f t="shared" si="1"/>
        <v>3053.6520757464264</v>
      </c>
      <c r="E15" s="81">
        <v>6</v>
      </c>
      <c r="F15" s="58">
        <f>DDB($B$4,,$F$8,E15)</f>
        <v>3053.6520758001939</v>
      </c>
    </row>
    <row r="16" spans="1:7" x14ac:dyDescent="0.25">
      <c r="A16" s="8" t="s">
        <v>91</v>
      </c>
      <c r="B16" s="44">
        <f t="shared" si="0"/>
        <v>28862.009001018589</v>
      </c>
      <c r="C16" s="44">
        <f t="shared" si="1"/>
        <v>2784.9306930807406</v>
      </c>
      <c r="E16" s="81">
        <v>7</v>
      </c>
      <c r="F16" s="58">
        <f>DDB($B$4,,$F$8,E16)</f>
        <v>2784.9306931206343</v>
      </c>
    </row>
    <row r="17" spans="1:6" x14ac:dyDescent="0.25">
      <c r="A17" s="8" t="s">
        <v>92</v>
      </c>
      <c r="B17" s="44">
        <f t="shared" si="0"/>
        <v>26322.152208928954</v>
      </c>
      <c r="C17" s="44">
        <f t="shared" si="1"/>
        <v>2539.8567920896357</v>
      </c>
      <c r="E17" s="81">
        <v>8</v>
      </c>
      <c r="F17" s="58">
        <f>DDB($B$4,,$F$8,E17)</f>
        <v>2539.8567921176809</v>
      </c>
    </row>
    <row r="18" spans="1:6" x14ac:dyDescent="0.25">
      <c r="A18" s="8" t="s">
        <v>93</v>
      </c>
      <c r="B18" s="44">
        <f t="shared" si="0"/>
        <v>24005.802814543207</v>
      </c>
      <c r="C18" s="44">
        <f t="shared" si="1"/>
        <v>2316.3493943857479</v>
      </c>
      <c r="E18" s="81">
        <v>9</v>
      </c>
      <c r="F18" s="58">
        <f>DDB($B$4,,$F$8,E18)</f>
        <v>2316.3493944037205</v>
      </c>
    </row>
    <row r="19" spans="1:6" x14ac:dyDescent="0.25">
      <c r="A19" s="8" t="s">
        <v>94</v>
      </c>
      <c r="B19" s="44">
        <f t="shared" si="0"/>
        <v>21893.292166863404</v>
      </c>
      <c r="C19" s="44">
        <f t="shared" si="1"/>
        <v>2112.5106476798023</v>
      </c>
      <c r="E19" s="81">
        <v>10</v>
      </c>
      <c r="F19" s="58">
        <f>DDB($B$4,,$F$8,E19)</f>
        <v>2112.5106476892583</v>
      </c>
    </row>
    <row r="20" spans="1:6" x14ac:dyDescent="0.25">
      <c r="A20" s="8" t="s">
        <v>95</v>
      </c>
      <c r="B20" s="44">
        <f t="shared" si="0"/>
        <v>19966.682456179424</v>
      </c>
      <c r="C20" s="44">
        <f t="shared" si="1"/>
        <v>1926.6097106839795</v>
      </c>
      <c r="E20" s="81">
        <v>11</v>
      </c>
      <c r="F20" s="58">
        <f>DDB($B$4,,$F$8,E20)</f>
        <v>1926.6097106862792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77" t="s">
        <v>76</v>
      </c>
      <c r="B1" s="77"/>
      <c r="C1" s="77"/>
      <c r="D1" s="77"/>
      <c r="E1" s="77"/>
      <c r="F1" s="77"/>
      <c r="G1" s="77"/>
    </row>
    <row r="2" spans="1:7" ht="107.25" customHeight="1" x14ac:dyDescent="0.25">
      <c r="A2" s="72" t="s">
        <v>77</v>
      </c>
    </row>
    <row r="3" spans="1:7" ht="105" customHeight="1" x14ac:dyDescent="0.25">
      <c r="A3" s="72" t="s">
        <v>78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N31"/>
  <sheetViews>
    <sheetView workbookViewId="0">
      <selection activeCell="M46" sqref="M46"/>
    </sheetView>
  </sheetViews>
  <sheetFormatPr defaultRowHeight="15" x14ac:dyDescent="0.25"/>
  <cols>
    <col min="1" max="1" width="21" style="11" customWidth="1"/>
    <col min="2" max="2" width="13.7109375" style="11" bestFit="1" customWidth="1"/>
    <col min="3" max="3" width="21.140625" style="11" customWidth="1"/>
    <col min="4" max="4" width="16.85546875" style="11" bestFit="1" customWidth="1"/>
    <col min="5" max="5" width="14.7109375" style="11" bestFit="1" customWidth="1"/>
    <col min="6" max="6" width="1.85546875" style="11" customWidth="1"/>
    <col min="7" max="7" width="14.7109375" style="11" customWidth="1"/>
    <col min="8" max="8" width="21.28515625" style="11" customWidth="1"/>
    <col min="9" max="9" width="9.140625" style="11"/>
    <col min="10" max="10" width="16.5703125" style="11" customWidth="1"/>
    <col min="11" max="11" width="20.28515625" style="11" customWidth="1"/>
    <col min="12" max="12" width="18.42578125" style="11" customWidth="1"/>
    <col min="13" max="13" width="17.28515625" style="11" customWidth="1"/>
    <col min="14" max="14" width="21.85546875" style="11" customWidth="1"/>
    <col min="15" max="16384" width="9.140625" style="11"/>
  </cols>
  <sheetData>
    <row r="1" spans="1:14" ht="16.5" x14ac:dyDescent="0.3">
      <c r="A1" s="3" t="s">
        <v>0</v>
      </c>
      <c r="B1" s="3"/>
      <c r="C1" s="4"/>
      <c r="D1" s="5" t="s">
        <v>1</v>
      </c>
    </row>
    <row r="2" spans="1:14" x14ac:dyDescent="0.25">
      <c r="A2" s="27" t="s">
        <v>21</v>
      </c>
      <c r="B2" s="6"/>
      <c r="C2" s="1"/>
      <c r="D2" s="1"/>
    </row>
    <row r="3" spans="1:14" x14ac:dyDescent="0.25">
      <c r="A3" s="6"/>
      <c r="B3" s="6"/>
      <c r="C3" s="1"/>
      <c r="D3" s="1"/>
    </row>
    <row r="4" spans="1:14" x14ac:dyDescent="0.25">
      <c r="A4" s="7" t="s">
        <v>6</v>
      </c>
      <c r="B4" s="7" t="s">
        <v>2</v>
      </c>
      <c r="C4" s="7" t="s">
        <v>3</v>
      </c>
      <c r="I4" s="24"/>
      <c r="L4" s="12"/>
    </row>
    <row r="5" spans="1:14" x14ac:dyDescent="0.25">
      <c r="A5" s="8" t="s">
        <v>7</v>
      </c>
      <c r="B5" s="8" t="s">
        <v>4</v>
      </c>
      <c r="C5" s="9">
        <v>100000</v>
      </c>
      <c r="L5"/>
    </row>
    <row r="6" spans="1:14" x14ac:dyDescent="0.25">
      <c r="A6" s="8" t="s">
        <v>8</v>
      </c>
      <c r="B6" s="8" t="s">
        <v>5</v>
      </c>
      <c r="C6" s="10">
        <v>10</v>
      </c>
    </row>
    <row r="7" spans="1:14" x14ac:dyDescent="0.25">
      <c r="A7" s="8" t="s">
        <v>9</v>
      </c>
      <c r="B7" s="8" t="s">
        <v>4</v>
      </c>
      <c r="C7" s="9">
        <v>10000</v>
      </c>
    </row>
    <row r="8" spans="1:14" x14ac:dyDescent="0.25">
      <c r="L8"/>
    </row>
    <row r="9" spans="1:14" x14ac:dyDescent="0.25">
      <c r="D9" s="20" t="s">
        <v>17</v>
      </c>
      <c r="H9" s="20" t="s">
        <v>19</v>
      </c>
      <c r="K9" s="20" t="s">
        <v>16</v>
      </c>
      <c r="L9"/>
    </row>
    <row r="10" spans="1:14" x14ac:dyDescent="0.25">
      <c r="D10" s="8">
        <v>2</v>
      </c>
      <c r="H10" s="15">
        <v>5</v>
      </c>
      <c r="K10" s="15">
        <f>ROUND(1-((C7/C5)^(1/C6)),3)</f>
        <v>0.20599999999999999</v>
      </c>
      <c r="L10"/>
    </row>
    <row r="11" spans="1:14" x14ac:dyDescent="0.25">
      <c r="A11" s="18" t="s">
        <v>14</v>
      </c>
      <c r="B11" s="13"/>
      <c r="C11" s="14"/>
      <c r="J11" s="19" t="s">
        <v>15</v>
      </c>
    </row>
    <row r="12" spans="1:14" hidden="1" x14ac:dyDescent="0.25">
      <c r="A12" s="18"/>
      <c r="B12" s="13"/>
      <c r="C12" s="14"/>
    </row>
    <row r="13" spans="1:14" ht="60" x14ac:dyDescent="0.25">
      <c r="A13" s="16" t="s">
        <v>13</v>
      </c>
      <c r="B13" s="17" t="s">
        <v>10</v>
      </c>
      <c r="C13" s="17" t="s">
        <v>20</v>
      </c>
      <c r="D13" s="17" t="s">
        <v>11</v>
      </c>
      <c r="E13" s="17" t="s">
        <v>12</v>
      </c>
      <c r="G13" s="16" t="s">
        <v>13</v>
      </c>
      <c r="H13" s="17" t="s">
        <v>18</v>
      </c>
      <c r="J13" s="17" t="s">
        <v>10</v>
      </c>
      <c r="K13" s="17" t="s">
        <v>20</v>
      </c>
      <c r="L13" s="17" t="s">
        <v>11</v>
      </c>
      <c r="M13" s="17" t="s">
        <v>12</v>
      </c>
      <c r="N13" s="17" t="s">
        <v>18</v>
      </c>
    </row>
    <row r="14" spans="1:14" x14ac:dyDescent="0.25">
      <c r="A14" s="15">
        <v>1</v>
      </c>
      <c r="B14" s="21">
        <f>SLN($C$5,$C$7,$C$6)</f>
        <v>9000</v>
      </c>
      <c r="C14" s="21">
        <f>DB($C$5,$C$7,$C$6,A14)</f>
        <v>20600</v>
      </c>
      <c r="D14" s="21">
        <f>DDB($C$5,$C$7,$C$6,A14,$D$10)</f>
        <v>20000</v>
      </c>
      <c r="E14" s="21">
        <f>SYD($C$5,$C$7,$C$6,A14)</f>
        <v>16363.636363636364</v>
      </c>
      <c r="G14" s="15">
        <v>1</v>
      </c>
      <c r="H14" s="21">
        <f>DB($C$5,$C$7,$C$6,G14,$H$10)</f>
        <v>8583.3333333333339</v>
      </c>
      <c r="I14" s="22"/>
      <c r="J14" s="21">
        <f>($C$5-$C$7)/$C$6</f>
        <v>9000</v>
      </c>
      <c r="K14" s="21">
        <f>($C$5 - SUM($K$13:K13)) * $K$10</f>
        <v>20600</v>
      </c>
      <c r="L14" s="21">
        <f>MIN(($C$5-SUM($L$13:L13))*($D$10/$C$6),$C$5-$C$7-SUM($L$13:L13))</f>
        <v>20000</v>
      </c>
      <c r="M14" s="21">
        <f>(($C$5-$C$7)*($C$6-A14+1)*2)/($C$6*($C$6+1))</f>
        <v>16363.636363636364</v>
      </c>
      <c r="N14" s="26">
        <f>C5*K10*H10/12</f>
        <v>8583.3333333333339</v>
      </c>
    </row>
    <row r="15" spans="1:14" x14ac:dyDescent="0.25">
      <c r="A15" s="15">
        <v>2</v>
      </c>
      <c r="B15" s="21">
        <f t="shared" ref="B15:B23" si="0">SLN($C$5,$C$7,$C$6)</f>
        <v>9000</v>
      </c>
      <c r="C15" s="21">
        <f t="shared" ref="C15:C23" si="1">DB($C$5,$C$7,$C$6,A15)</f>
        <v>16356.4</v>
      </c>
      <c r="D15" s="21">
        <f t="shared" ref="D15:D23" si="2">DDB($C$5,$C$7,$C$6,A15,$D$10)</f>
        <v>16000</v>
      </c>
      <c r="E15" s="21">
        <f t="shared" ref="E15:E23" si="3">SYD($C$5,$C$7,$C$6,A15)</f>
        <v>14727.272727272728</v>
      </c>
      <c r="G15" s="15">
        <v>2</v>
      </c>
      <c r="H15" s="21">
        <f t="shared" ref="H15:H24" si="4">DB($C$5,$C$7,$C$6,G15,$H$10)</f>
        <v>18831.833333333332</v>
      </c>
      <c r="I15" s="22"/>
      <c r="J15" s="21">
        <f t="shared" ref="J15:J23" si="5">($C$5-$C$7)/$C$6</f>
        <v>9000</v>
      </c>
      <c r="K15" s="21">
        <f>($C$5 - SUM($K$13:K14)) * $K$10</f>
        <v>16356.4</v>
      </c>
      <c r="L15" s="21">
        <f>MIN(($C$5-SUM($L$13:L14))*($D$10/$C$6),$C$5-$C$7-SUM($L$13:L14))</f>
        <v>16000</v>
      </c>
      <c r="M15" s="21">
        <f t="shared" ref="M15:M23" si="6">(($C$5-$C$7)*($C$6-A15+1)*2)/($C$6*($C$6+1))</f>
        <v>14727.272727272728</v>
      </c>
      <c r="N15" s="21">
        <f>($C$5 - SUM($N$13:N14)) * $K$10</f>
        <v>18831.833333333332</v>
      </c>
    </row>
    <row r="16" spans="1:14" x14ac:dyDescent="0.25">
      <c r="A16" s="15">
        <v>3</v>
      </c>
      <c r="B16" s="21">
        <f t="shared" si="0"/>
        <v>9000</v>
      </c>
      <c r="C16" s="21">
        <f t="shared" si="1"/>
        <v>12986.981599999999</v>
      </c>
      <c r="D16" s="21">
        <f t="shared" si="2"/>
        <v>12800.000000000004</v>
      </c>
      <c r="E16" s="21">
        <f t="shared" si="3"/>
        <v>13090.90909090909</v>
      </c>
      <c r="G16" s="15">
        <v>3</v>
      </c>
      <c r="H16" s="21">
        <f t="shared" si="4"/>
        <v>14952.475666666667</v>
      </c>
      <c r="I16" s="22"/>
      <c r="J16" s="21">
        <f t="shared" si="5"/>
        <v>9000</v>
      </c>
      <c r="K16" s="21">
        <f>($C$5 - SUM($K$14:K15)) * $K$10</f>
        <v>12986.981599999999</v>
      </c>
      <c r="L16" s="21">
        <f>MIN(($C$5-SUM($L$13:L15))*($D$10/$C$6),$C$5-$C$7-SUM($L$13:L15))</f>
        <v>12800</v>
      </c>
      <c r="M16" s="21">
        <f t="shared" si="6"/>
        <v>13090.90909090909</v>
      </c>
      <c r="N16" s="21">
        <f>($C$5 - SUM($N$13:N15)) * $K$10</f>
        <v>14952.475666666667</v>
      </c>
    </row>
    <row r="17" spans="1:14" x14ac:dyDescent="0.25">
      <c r="A17" s="15">
        <v>4</v>
      </c>
      <c r="B17" s="21">
        <f t="shared" si="0"/>
        <v>9000</v>
      </c>
      <c r="C17" s="21">
        <f t="shared" si="1"/>
        <v>10311.663390399999</v>
      </c>
      <c r="D17" s="21">
        <f t="shared" si="2"/>
        <v>10240.000000000004</v>
      </c>
      <c r="E17" s="21">
        <f t="shared" si="3"/>
        <v>11454.545454545454</v>
      </c>
      <c r="G17" s="15">
        <v>4</v>
      </c>
      <c r="H17" s="21">
        <f t="shared" si="4"/>
        <v>11872.265679333335</v>
      </c>
      <c r="I17" s="22"/>
      <c r="J17" s="21">
        <f t="shared" si="5"/>
        <v>9000</v>
      </c>
      <c r="K17" s="21">
        <f>($C$5 - SUM($K$14:K16)) * $K$10</f>
        <v>10311.663390399999</v>
      </c>
      <c r="L17" s="21">
        <f>MIN(($C$5-SUM($L$13:L16))*($D$10/$C$6),$C$5-$C$7-SUM($L$13:L16))</f>
        <v>10240</v>
      </c>
      <c r="M17" s="21">
        <f t="shared" si="6"/>
        <v>11454.545454545454</v>
      </c>
      <c r="N17" s="21">
        <f>($C$5 - SUM($N$13:N16)) * $K$10</f>
        <v>11872.265679333334</v>
      </c>
    </row>
    <row r="18" spans="1:14" x14ac:dyDescent="0.25">
      <c r="A18" s="15">
        <v>5</v>
      </c>
      <c r="B18" s="21">
        <f t="shared" si="0"/>
        <v>9000</v>
      </c>
      <c r="C18" s="21">
        <f t="shared" si="1"/>
        <v>8187.4607319775996</v>
      </c>
      <c r="D18" s="21">
        <f t="shared" si="2"/>
        <v>8192.0000000000055</v>
      </c>
      <c r="E18" s="21">
        <f t="shared" si="3"/>
        <v>9818.181818181818</v>
      </c>
      <c r="G18" s="15">
        <v>5</v>
      </c>
      <c r="H18" s="21">
        <f t="shared" si="4"/>
        <v>9426.5789493906668</v>
      </c>
      <c r="I18" s="22"/>
      <c r="J18" s="21">
        <f t="shared" si="5"/>
        <v>9000</v>
      </c>
      <c r="K18" s="21">
        <f>($C$5 - SUM($K$14:K17)) * $K$10</f>
        <v>8187.4607319775996</v>
      </c>
      <c r="L18" s="21">
        <f>MIN(($C$5-SUM($L$13:L17))*($D$10/$C$6),$C$5-$C$7-SUM($L$13:L17))</f>
        <v>8192</v>
      </c>
      <c r="M18" s="21">
        <f t="shared" si="6"/>
        <v>9818.181818181818</v>
      </c>
      <c r="N18" s="21">
        <f>($C$5 - SUM($N$13:N17)) * $K$10</f>
        <v>9426.5789493906668</v>
      </c>
    </row>
    <row r="19" spans="1:14" x14ac:dyDescent="0.25">
      <c r="A19" s="15">
        <v>6</v>
      </c>
      <c r="B19" s="21">
        <f t="shared" si="0"/>
        <v>9000</v>
      </c>
      <c r="C19" s="21">
        <f t="shared" si="1"/>
        <v>6500.8438211902139</v>
      </c>
      <c r="D19" s="21">
        <f t="shared" si="2"/>
        <v>6553.6000000000049</v>
      </c>
      <c r="E19" s="21">
        <f t="shared" si="3"/>
        <v>8181.818181818182</v>
      </c>
      <c r="G19" s="15">
        <v>6</v>
      </c>
      <c r="H19" s="21">
        <f t="shared" si="4"/>
        <v>7484.70368581619</v>
      </c>
      <c r="I19" s="22"/>
      <c r="J19" s="21">
        <f t="shared" si="5"/>
        <v>9000</v>
      </c>
      <c r="K19" s="21">
        <f>($C$5 - SUM($K$14:K18)) * $K$10</f>
        <v>6500.8438211902148</v>
      </c>
      <c r="L19" s="21">
        <f>MIN(($C$5-SUM($L$13:L18))*($D$10/$C$6),$C$5-$C$7-SUM($L$13:L18))</f>
        <v>6553.6</v>
      </c>
      <c r="M19" s="21">
        <f t="shared" si="6"/>
        <v>8181.818181818182</v>
      </c>
      <c r="N19" s="21">
        <f>($C$5 - SUM($N$13:N18)) * $K$10</f>
        <v>7484.70368581619</v>
      </c>
    </row>
    <row r="20" spans="1:14" x14ac:dyDescent="0.25">
      <c r="A20" s="15">
        <v>7</v>
      </c>
      <c r="B20" s="21">
        <f t="shared" si="0"/>
        <v>9000</v>
      </c>
      <c r="C20" s="21">
        <f t="shared" si="1"/>
        <v>5161.6699940250301</v>
      </c>
      <c r="D20" s="21">
        <f t="shared" si="2"/>
        <v>5242.8800000000037</v>
      </c>
      <c r="E20" s="21">
        <f t="shared" si="3"/>
        <v>6545.454545454545</v>
      </c>
      <c r="G20" s="15">
        <v>7</v>
      </c>
      <c r="H20" s="21">
        <f t="shared" si="4"/>
        <v>5942.8547265380548</v>
      </c>
      <c r="I20" s="22"/>
      <c r="J20" s="21">
        <f t="shared" si="5"/>
        <v>9000</v>
      </c>
      <c r="K20" s="21">
        <f>($C$5 - SUM($K$14:K19)) * $K$10</f>
        <v>5161.6699940250319</v>
      </c>
      <c r="L20" s="21">
        <f>MIN(($C$5-SUM($L$13:L19))*($D$10/$C$6),$C$5-$C$7-SUM($L$13:L19))</f>
        <v>5242.8799999999992</v>
      </c>
      <c r="M20" s="21">
        <f t="shared" si="6"/>
        <v>6545.454545454545</v>
      </c>
      <c r="N20" s="21">
        <f>($C$5 - SUM($N$13:N19)) * $K$10</f>
        <v>5942.8547265380548</v>
      </c>
    </row>
    <row r="21" spans="1:14" x14ac:dyDescent="0.25">
      <c r="A21" s="15">
        <v>8</v>
      </c>
      <c r="B21" s="21">
        <f t="shared" si="0"/>
        <v>9000</v>
      </c>
      <c r="C21" s="21">
        <f t="shared" si="1"/>
        <v>4098.3659752558742</v>
      </c>
      <c r="D21" s="21">
        <f t="shared" si="2"/>
        <v>4194.3040000000028</v>
      </c>
      <c r="E21" s="21">
        <f t="shared" si="3"/>
        <v>4909.090909090909</v>
      </c>
      <c r="G21" s="15">
        <v>8</v>
      </c>
      <c r="H21" s="21">
        <f t="shared" si="4"/>
        <v>4718.6266528712158</v>
      </c>
      <c r="I21" s="22"/>
      <c r="J21" s="21">
        <f t="shared" si="5"/>
        <v>9000</v>
      </c>
      <c r="K21" s="21">
        <f>($C$5 - SUM($K$14:K20)) * $K$10</f>
        <v>4098.3659752558769</v>
      </c>
      <c r="L21" s="21">
        <f>MIN(($C$5-SUM($L$13:L20))*($D$10/$C$6),$C$5-$C$7-SUM($L$13:L20))</f>
        <v>4194.3039999999983</v>
      </c>
      <c r="M21" s="21">
        <f t="shared" si="6"/>
        <v>4909.090909090909</v>
      </c>
      <c r="N21" s="21">
        <f>($C$5 - SUM($N$13:N20)) * $K$10</f>
        <v>4718.6266528712176</v>
      </c>
    </row>
    <row r="22" spans="1:14" x14ac:dyDescent="0.25">
      <c r="A22" s="15">
        <v>9</v>
      </c>
      <c r="B22" s="21">
        <f t="shared" si="0"/>
        <v>9000</v>
      </c>
      <c r="C22" s="21">
        <f t="shared" si="1"/>
        <v>3254.1025843531643</v>
      </c>
      <c r="D22" s="21">
        <f t="shared" si="2"/>
        <v>3355.4432000000033</v>
      </c>
      <c r="E22" s="21">
        <f t="shared" si="3"/>
        <v>3272.7272727272725</v>
      </c>
      <c r="G22" s="15">
        <v>9</v>
      </c>
      <c r="H22" s="21">
        <f t="shared" si="4"/>
        <v>3746.5895623797455</v>
      </c>
      <c r="I22" s="22"/>
      <c r="J22" s="21">
        <f t="shared" si="5"/>
        <v>9000</v>
      </c>
      <c r="K22" s="21">
        <f>($C$5 - SUM($K$14:K21)) * $K$10</f>
        <v>3254.1025843531665</v>
      </c>
      <c r="L22" s="21">
        <f>MIN(($C$5-SUM($L$13:L21))*($D$10/$C$6),$C$5-$C$7-SUM($L$13:L21))</f>
        <v>3355.4431999999974</v>
      </c>
      <c r="M22" s="21">
        <f t="shared" si="6"/>
        <v>3272.7272727272725</v>
      </c>
      <c r="N22" s="21">
        <f>($C$5 - SUM($N$13:N21)) * $K$10</f>
        <v>3746.5895623797469</v>
      </c>
    </row>
    <row r="23" spans="1:14" x14ac:dyDescent="0.25">
      <c r="A23" s="15">
        <v>10</v>
      </c>
      <c r="B23" s="21">
        <f t="shared" si="0"/>
        <v>9000</v>
      </c>
      <c r="C23" s="21">
        <f t="shared" si="1"/>
        <v>2583.7574519764125</v>
      </c>
      <c r="D23" s="21">
        <f t="shared" si="2"/>
        <v>2684.3545600000025</v>
      </c>
      <c r="E23" s="21">
        <f t="shared" si="3"/>
        <v>1636.3636363636363</v>
      </c>
      <c r="G23" s="15">
        <v>10</v>
      </c>
      <c r="H23" s="21">
        <f t="shared" si="4"/>
        <v>2974.7921125295179</v>
      </c>
      <c r="I23" s="22"/>
      <c r="J23" s="21">
        <f t="shared" si="5"/>
        <v>9000</v>
      </c>
      <c r="K23" s="21">
        <f>($C$5 - SUM($K$14:K22)) * $K$10</f>
        <v>2583.7574519764139</v>
      </c>
      <c r="L23" s="21">
        <f>MIN(($C$5-SUM($L$13:L22))*($D$10/$C$6),$C$5-$C$7-SUM($L$13:L22))</f>
        <v>2684.3545599999984</v>
      </c>
      <c r="M23" s="21">
        <f t="shared" si="6"/>
        <v>1636.3636363636363</v>
      </c>
      <c r="N23" s="21">
        <f>($C$5 - SUM($N$13:N22)) * $K$10</f>
        <v>2974.7921125295206</v>
      </c>
    </row>
    <row r="24" spans="1:14" x14ac:dyDescent="0.25">
      <c r="A24" s="20" t="s">
        <v>75</v>
      </c>
      <c r="B24" s="23">
        <f>SUM(B14:B23)</f>
        <v>90000</v>
      </c>
      <c r="C24" s="23">
        <f t="shared" ref="C24:E24" si="7">SUM(C14:C23)</f>
        <v>90041.245549178289</v>
      </c>
      <c r="D24" s="23">
        <f t="shared" si="7"/>
        <v>89262.58176000003</v>
      </c>
      <c r="E24" s="23">
        <f t="shared" si="7"/>
        <v>90000</v>
      </c>
      <c r="G24" s="15">
        <v>11</v>
      </c>
      <c r="H24" s="21">
        <f t="shared" si="4"/>
        <v>1377.8245467865884</v>
      </c>
      <c r="I24" s="22"/>
      <c r="J24" s="23">
        <f>SUM(J14:J23)</f>
        <v>90000</v>
      </c>
      <c r="K24" s="23">
        <f t="shared" ref="K24:M24" si="8">SUM(K14:K23)</f>
        <v>90041.245549178289</v>
      </c>
      <c r="L24" s="23">
        <f t="shared" si="8"/>
        <v>89262.581760000001</v>
      </c>
      <c r="M24" s="23">
        <f t="shared" si="8"/>
        <v>90000</v>
      </c>
      <c r="N24" s="26">
        <f>((C5-SUM(N14:N23))*K10*(12-H10))/12</f>
        <v>1377.8245467865891</v>
      </c>
    </row>
    <row r="25" spans="1:14" x14ac:dyDescent="0.25">
      <c r="A25" s="23" t="s">
        <v>74</v>
      </c>
      <c r="B25" s="23">
        <f>VDB($C$5,$C$7,$C$6,0,$C$6,1)</f>
        <v>90000</v>
      </c>
      <c r="C25" s="25"/>
      <c r="D25" s="23">
        <f>VDB($C$5,$C$7,$C$6,0,$C$6,$D$10,TRUE)</f>
        <v>89262.58176000003</v>
      </c>
      <c r="E25" s="25"/>
      <c r="G25" s="25"/>
      <c r="H25" s="23">
        <f>SUM(H14:H24)</f>
        <v>89911.878248978624</v>
      </c>
      <c r="I25" s="22"/>
      <c r="J25" s="25"/>
      <c r="K25" s="25"/>
      <c r="L25" s="25"/>
      <c r="M25" s="25"/>
      <c r="N25" s="23">
        <f>SUM(N14:N24)</f>
        <v>89911.878248978639</v>
      </c>
    </row>
    <row r="26" spans="1:14" x14ac:dyDescent="0.25">
      <c r="E26" s="25"/>
      <c r="G26" s="25"/>
      <c r="H26" s="25"/>
      <c r="I26" s="22"/>
      <c r="J26" s="25"/>
      <c r="K26" s="25"/>
      <c r="L26" s="25"/>
      <c r="M26" s="25"/>
    </row>
    <row r="27" spans="1:14" x14ac:dyDescent="0.25">
      <c r="B27" s="25"/>
      <c r="C27" s="25"/>
      <c r="E27" s="25"/>
      <c r="G27" s="25"/>
      <c r="H27" s="25"/>
      <c r="I27" s="22"/>
      <c r="J27" s="25"/>
      <c r="K27" s="25"/>
      <c r="L27" s="25"/>
      <c r="M27" s="25"/>
    </row>
    <row r="28" spans="1:14" x14ac:dyDescent="0.25">
      <c r="J28" s="25"/>
      <c r="K28" s="25"/>
      <c r="L28" s="25"/>
    </row>
    <row r="29" spans="1:14" x14ac:dyDescent="0.25">
      <c r="J29" s="25"/>
      <c r="K29" s="25"/>
      <c r="L29" s="25"/>
    </row>
    <row r="30" spans="1:14" x14ac:dyDescent="0.25">
      <c r="J30" s="25"/>
      <c r="K30" s="25"/>
      <c r="L30" s="25"/>
    </row>
    <row r="31" spans="1:14" x14ac:dyDescent="0.25">
      <c r="J31" s="25"/>
      <c r="K31" s="25"/>
      <c r="L31" s="2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Линейный. Годовая сумма АО</vt:lpstr>
      <vt:lpstr>Линейный</vt:lpstr>
      <vt:lpstr>Уменьшаемый остаток</vt:lpstr>
      <vt:lpstr>Уменьшаемый ост. Год. сумма АО</vt:lpstr>
      <vt:lpstr>Сумма чисел лет</vt:lpstr>
      <vt:lpstr>Нелинейный</vt:lpstr>
      <vt:lpstr>EXCEL2.RU</vt:lpstr>
      <vt:lpstr>Функции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cp:lastPrinted>2015-01-26T11:03:35Z</cp:lastPrinted>
  <dcterms:created xsi:type="dcterms:W3CDTF">2009-03-02T05:21:58Z</dcterms:created>
  <dcterms:modified xsi:type="dcterms:W3CDTF">2015-04-26T18:11:08Z</dcterms:modified>
</cp:coreProperties>
</file>