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15195" windowHeight="11910" tabRatio="746" activeTab="1"/>
  </bookViews>
  <sheets>
    <sheet name="простой случай" sheetId="13" r:id="rId1"/>
    <sheet name="Ввод данных" sheetId="9" r:id="rId2"/>
    <sheet name="Детализация по месяцам" sheetId="12" r:id="rId3"/>
    <sheet name="EXCEL2.RU" sheetId="10" r:id="rId4"/>
    <sheet name="EXCEL2.RU (2)" sheetId="11" state="veryHidden" r:id="rId5"/>
  </sheets>
  <definedNames>
    <definedName name="anscount" hidden="1">2</definedName>
    <definedName name="limcount" hidden="1">2</definedName>
    <definedName name="sencount" hidden="1">4</definedName>
    <definedName name="ДатаДиаг">OFFSET('Ввод данных'!$G$14,,,'Ввод данных'!$I$9)</definedName>
    <definedName name="ПланНакопл">OFFSET('Ввод данных'!$J$14,,,'Ввод данных'!$I$9)</definedName>
    <definedName name="ФактНакопл">OFFSET('Ввод данных'!$K$14,,,'Ввод данных'!$I$9)</definedName>
  </definedNames>
  <calcPr calcId="145621"/>
  <pivotCaches>
    <pivotCache cacheId="24" r:id="rId6"/>
  </pivotCaches>
</workbook>
</file>

<file path=xl/calcChain.xml><?xml version="1.0" encoding="utf-8"?>
<calcChain xmlns="http://schemas.openxmlformats.org/spreadsheetml/2006/main">
  <c r="A4" i="12" l="1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B15" i="13" l="1"/>
  <c r="B16" i="13" s="1"/>
  <c r="B17" i="13" s="1"/>
  <c r="D9" i="13"/>
  <c r="D8" i="13" s="1"/>
  <c r="C9" i="13"/>
  <c r="B18" i="13" l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5" i="12"/>
  <c r="I8" i="9" l="1"/>
  <c r="I7" i="9"/>
  <c r="H7" i="9"/>
  <c r="H8" i="9"/>
  <c r="C9" i="9"/>
  <c r="B8" i="12"/>
  <c r="B9" i="12" s="1"/>
  <c r="G14" i="9" l="1"/>
  <c r="G19" i="9" s="1"/>
  <c r="I9" i="9"/>
  <c r="C8" i="12"/>
  <c r="G29" i="9" l="1"/>
  <c r="G26" i="9"/>
  <c r="G32" i="9"/>
  <c r="G31" i="9"/>
  <c r="G22" i="9"/>
  <c r="G25" i="9"/>
  <c r="G24" i="9"/>
  <c r="G27" i="9"/>
  <c r="G15" i="9"/>
  <c r="G18" i="9"/>
  <c r="G17" i="9"/>
  <c r="G20" i="9"/>
  <c r="H19" i="9" s="1"/>
  <c r="G23" i="9"/>
  <c r="G34" i="9"/>
  <c r="G33" i="9"/>
  <c r="G36" i="9"/>
  <c r="G16" i="9"/>
  <c r="G30" i="9"/>
  <c r="G37" i="9"/>
  <c r="G21" i="9"/>
  <c r="G28" i="9"/>
  <c r="G35" i="9"/>
  <c r="D8" i="12"/>
  <c r="C9" i="12"/>
  <c r="I26" i="9" l="1"/>
  <c r="I37" i="9"/>
  <c r="H37" i="9"/>
  <c r="I33" i="9"/>
  <c r="H33" i="9"/>
  <c r="I17" i="9"/>
  <c r="H17" i="9"/>
  <c r="H24" i="9"/>
  <c r="I24" i="9"/>
  <c r="I19" i="9"/>
  <c r="H32" i="9"/>
  <c r="H35" i="9"/>
  <c r="I35" i="9"/>
  <c r="I30" i="9"/>
  <c r="H30" i="9"/>
  <c r="H34" i="9"/>
  <c r="I34" i="9"/>
  <c r="I18" i="9"/>
  <c r="H18" i="9"/>
  <c r="I25" i="9"/>
  <c r="H25" i="9"/>
  <c r="I32" i="9"/>
  <c r="I28" i="9"/>
  <c r="H28" i="9"/>
  <c r="H16" i="9"/>
  <c r="I16" i="9"/>
  <c r="H23" i="9"/>
  <c r="I23" i="9"/>
  <c r="H15" i="9"/>
  <c r="I15" i="9"/>
  <c r="I14" i="9"/>
  <c r="H14" i="9"/>
  <c r="I22" i="9"/>
  <c r="H22" i="9"/>
  <c r="H29" i="9"/>
  <c r="I21" i="9"/>
  <c r="H21" i="9"/>
  <c r="H36" i="9"/>
  <c r="I36" i="9"/>
  <c r="H20" i="9"/>
  <c r="I20" i="9"/>
  <c r="H27" i="9"/>
  <c r="I27" i="9"/>
  <c r="H31" i="9"/>
  <c r="I31" i="9"/>
  <c r="H26" i="9"/>
  <c r="I29" i="9"/>
  <c r="E8" i="12"/>
  <c r="D9" i="12"/>
  <c r="K14" i="9" l="1"/>
  <c r="F8" i="12"/>
  <c r="E9" i="12"/>
  <c r="J14" i="9" l="1"/>
  <c r="K15" i="9"/>
  <c r="J15" i="9"/>
  <c r="G8" i="12"/>
  <c r="F9" i="12"/>
  <c r="K16" i="9" l="1"/>
  <c r="J16" i="9"/>
  <c r="H8" i="12"/>
  <c r="G9" i="12"/>
  <c r="I8" i="12" l="1"/>
  <c r="H9" i="12"/>
  <c r="J8" i="12" l="1"/>
  <c r="I9" i="12"/>
  <c r="D9" i="9" l="1"/>
  <c r="D8" i="9" s="1"/>
  <c r="M11" i="9" s="1"/>
  <c r="K8" i="12"/>
  <c r="J9" i="12"/>
  <c r="L8" i="12" l="1"/>
  <c r="K9" i="12"/>
  <c r="M8" i="12" l="1"/>
  <c r="L9" i="12"/>
  <c r="N8" i="12" l="1"/>
  <c r="M9" i="12"/>
  <c r="O8" i="12" l="1"/>
  <c r="N9" i="12"/>
  <c r="P8" i="12" l="1"/>
  <c r="O9" i="12"/>
  <c r="Q8" i="12" l="1"/>
  <c r="P9" i="12"/>
  <c r="R8" i="12" l="1"/>
  <c r="Q9" i="12"/>
  <c r="S8" i="12" l="1"/>
  <c r="R9" i="12"/>
  <c r="S9" i="12" l="1"/>
  <c r="B14" i="12"/>
  <c r="B15" i="12" s="1"/>
  <c r="B16" i="12" l="1"/>
  <c r="B17" i="12" s="1"/>
  <c r="K21" i="9" l="1"/>
  <c r="J17" i="9"/>
  <c r="K17" i="9"/>
  <c r="B25" i="12"/>
  <c r="A25" i="12" s="1"/>
  <c r="B41" i="12"/>
  <c r="A41" i="12" s="1"/>
  <c r="B50" i="12"/>
  <c r="A50" i="12" s="1"/>
  <c r="B35" i="12"/>
  <c r="A35" i="12" s="1"/>
  <c r="B24" i="12"/>
  <c r="A24" i="12" s="1"/>
  <c r="B40" i="12"/>
  <c r="A40" i="12" s="1"/>
  <c r="B26" i="12"/>
  <c r="A26" i="12" s="1"/>
  <c r="B46" i="12"/>
  <c r="A46" i="12" s="1"/>
  <c r="B29" i="12"/>
  <c r="A29" i="12" s="1"/>
  <c r="B45" i="12"/>
  <c r="A45" i="12" s="1"/>
  <c r="B23" i="12"/>
  <c r="A23" i="12" s="1"/>
  <c r="B39" i="12"/>
  <c r="A39" i="12" s="1"/>
  <c r="B28" i="12"/>
  <c r="A28" i="12" s="1"/>
  <c r="B44" i="12"/>
  <c r="A44" i="12" s="1"/>
  <c r="B30" i="12"/>
  <c r="A30" i="12" s="1"/>
  <c r="B20" i="12"/>
  <c r="A20" i="12" s="1"/>
  <c r="E20" i="12" s="1"/>
  <c r="B33" i="12"/>
  <c r="A33" i="12" s="1"/>
  <c r="B49" i="12"/>
  <c r="A49" i="12" s="1"/>
  <c r="B27" i="12"/>
  <c r="A27" i="12" s="1"/>
  <c r="B43" i="12"/>
  <c r="A43" i="12" s="1"/>
  <c r="B32" i="12"/>
  <c r="A32" i="12" s="1"/>
  <c r="B48" i="12"/>
  <c r="A48" i="12" s="1"/>
  <c r="B34" i="12"/>
  <c r="A34" i="12" s="1"/>
  <c r="B21" i="12"/>
  <c r="A21" i="12" s="1"/>
  <c r="B37" i="12"/>
  <c r="A37" i="12" s="1"/>
  <c r="B38" i="12"/>
  <c r="A38" i="12" s="1"/>
  <c r="B31" i="12"/>
  <c r="A31" i="12" s="1"/>
  <c r="B47" i="12"/>
  <c r="A47" i="12" s="1"/>
  <c r="B36" i="12"/>
  <c r="A36" i="12" s="1"/>
  <c r="B22" i="12"/>
  <c r="A22" i="12" s="1"/>
  <c r="B42" i="12"/>
  <c r="A42" i="12" s="1"/>
  <c r="J27" i="9" l="1"/>
  <c r="J28" i="9"/>
  <c r="J21" i="9"/>
  <c r="J20" i="9"/>
  <c r="J24" i="9"/>
  <c r="J22" i="9"/>
  <c r="J26" i="9"/>
  <c r="J25" i="9"/>
  <c r="J23" i="9"/>
  <c r="K28" i="9"/>
  <c r="K23" i="9"/>
  <c r="K20" i="9"/>
  <c r="K25" i="9"/>
  <c r="K26" i="9"/>
  <c r="K24" i="9"/>
  <c r="K22" i="9"/>
  <c r="K27" i="9"/>
  <c r="K18" i="9"/>
  <c r="K19" i="9"/>
  <c r="K31" i="9"/>
  <c r="K34" i="9"/>
  <c r="K33" i="9"/>
  <c r="K36" i="9"/>
  <c r="K32" i="9"/>
  <c r="K37" i="9"/>
  <c r="K35" i="9"/>
  <c r="K29" i="9"/>
  <c r="K30" i="9"/>
  <c r="J18" i="9"/>
  <c r="J19" i="9"/>
  <c r="J35" i="9"/>
  <c r="J36" i="9"/>
  <c r="J37" i="9"/>
  <c r="J34" i="9"/>
  <c r="J32" i="9"/>
  <c r="J31" i="9"/>
  <c r="J30" i="9"/>
  <c r="J33" i="9"/>
  <c r="J29" i="9"/>
  <c r="F20" i="12"/>
  <c r="G20" i="12"/>
  <c r="E21" i="12"/>
  <c r="F21" i="12" l="1"/>
  <c r="G21" i="12"/>
  <c r="E22" i="12"/>
  <c r="H20" i="12"/>
  <c r="H21" i="12" l="1"/>
  <c r="E23" i="12"/>
  <c r="G22" i="12"/>
  <c r="F22" i="12"/>
  <c r="H22" i="12" l="1"/>
  <c r="F23" i="12"/>
  <c r="G23" i="12"/>
  <c r="E24" i="12"/>
  <c r="E25" i="12" s="1"/>
  <c r="H23" i="12" l="1"/>
  <c r="F24" i="12"/>
  <c r="G24" i="12"/>
  <c r="F25" i="12"/>
  <c r="G25" i="12"/>
  <c r="E26" i="12"/>
  <c r="H25" i="12" l="1"/>
  <c r="H24" i="12"/>
  <c r="F26" i="12"/>
  <c r="G26" i="12"/>
  <c r="E27" i="12"/>
  <c r="H26" i="12" l="1"/>
  <c r="E28" i="12"/>
  <c r="G28" i="12" s="1"/>
  <c r="G27" i="12"/>
  <c r="F27" i="12"/>
  <c r="H27" i="12" l="1"/>
  <c r="E29" i="12"/>
  <c r="G29" i="12" s="1"/>
  <c r="F28" i="12"/>
  <c r="H28" i="12" s="1"/>
  <c r="F29" i="12" l="1"/>
  <c r="H29" i="12" s="1"/>
  <c r="E30" i="12"/>
  <c r="G30" i="12" s="1"/>
  <c r="F30" i="12" l="1"/>
  <c r="H30" i="12" s="1"/>
  <c r="E31" i="12"/>
  <c r="E32" i="12" s="1"/>
  <c r="G32" i="12" s="1"/>
  <c r="G31" i="12" l="1"/>
  <c r="E33" i="12"/>
  <c r="G33" i="12" s="1"/>
  <c r="F32" i="12"/>
  <c r="H32" i="12" s="1"/>
  <c r="F31" i="12"/>
  <c r="H31" i="12" l="1"/>
  <c r="E34" i="12"/>
  <c r="G34" i="12" s="1"/>
  <c r="F33" i="12"/>
  <c r="H33" i="12" s="1"/>
  <c r="F34" i="12" l="1"/>
  <c r="H34" i="12" s="1"/>
  <c r="E35" i="12"/>
  <c r="E36" i="12" s="1"/>
  <c r="G36" i="12" s="1"/>
  <c r="H36" i="12" s="1"/>
  <c r="F35" i="12" l="1"/>
  <c r="G35" i="12"/>
  <c r="E37" i="12"/>
  <c r="F37" i="12" s="1"/>
  <c r="F36" i="12"/>
  <c r="H35" i="12" l="1"/>
  <c r="E38" i="12"/>
  <c r="E39" i="12" s="1"/>
  <c r="G37" i="12"/>
  <c r="H37" i="12" s="1"/>
  <c r="F38" i="12" l="1"/>
  <c r="F39" i="12"/>
  <c r="G39" i="12"/>
  <c r="E40" i="12"/>
  <c r="G40" i="12" s="1"/>
  <c r="H40" i="12" s="1"/>
  <c r="G38" i="12"/>
  <c r="H38" i="12" s="1"/>
  <c r="H39" i="12" l="1"/>
  <c r="E41" i="12"/>
  <c r="E42" i="12" s="1"/>
  <c r="F42" i="12" s="1"/>
  <c r="F40" i="12"/>
  <c r="G41" i="12" l="1"/>
  <c r="H41" i="12" s="1"/>
  <c r="F41" i="12"/>
  <c r="G42" i="12"/>
  <c r="H42" i="12" s="1"/>
  <c r="E43" i="12"/>
  <c r="F43" i="12" s="1"/>
  <c r="G43" i="12" l="1"/>
  <c r="H43" i="12" s="1"/>
  <c r="E44" i="12"/>
  <c r="E45" i="12" s="1"/>
  <c r="G44" i="12" l="1"/>
  <c r="F44" i="12"/>
  <c r="F45" i="12"/>
  <c r="G45" i="12"/>
  <c r="E46" i="12"/>
  <c r="H45" i="12" l="1"/>
  <c r="H44" i="12"/>
  <c r="F46" i="12"/>
  <c r="G46" i="12"/>
  <c r="E47" i="12"/>
  <c r="H46" i="12" l="1"/>
  <c r="F47" i="12"/>
  <c r="G47" i="12"/>
  <c r="E48" i="12"/>
  <c r="H47" i="12" l="1"/>
  <c r="F48" i="12"/>
  <c r="G48" i="12"/>
  <c r="E49" i="12"/>
  <c r="H48" i="12" l="1"/>
  <c r="F49" i="12"/>
  <c r="G49" i="12"/>
  <c r="E50" i="12"/>
  <c r="G50" i="12" s="1"/>
  <c r="H49" i="12" l="1"/>
  <c r="G16" i="12"/>
  <c r="F50" i="12"/>
  <c r="H50" i="12" s="1"/>
  <c r="F16" i="12" l="1"/>
  <c r="H14" i="12" s="1"/>
  <c r="J16" i="12" s="1"/>
</calcChain>
</file>

<file path=xl/sharedStrings.xml><?xml version="1.0" encoding="utf-8"?>
<sst xmlns="http://schemas.openxmlformats.org/spreadsheetml/2006/main" count="79" uniqueCount="49">
  <si>
    <t>Дата</t>
  </si>
  <si>
    <t>План</t>
  </si>
  <si>
    <t>Факт</t>
  </si>
  <si>
    <t>Месяц</t>
  </si>
  <si>
    <t>День</t>
  </si>
  <si>
    <t>Итого</t>
  </si>
  <si>
    <t>Таблица для ввода данных</t>
  </si>
  <si>
    <t>% выполнения плана месяца</t>
  </si>
  <si>
    <t>% выполнения плана на текущую дату</t>
  </si>
  <si>
    <t>% отклонения</t>
  </si>
  <si>
    <t>Таблица для Гистограммы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</si>
  <si>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</si>
  <si>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</si>
  <si>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</si>
  <si>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</si>
  <si>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</si>
  <si>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План-фактный анализ в MS EXCEL</t>
  </si>
  <si>
    <t>Строительство подстанции</t>
  </si>
  <si>
    <t>Название объекта</t>
  </si>
  <si>
    <t>№</t>
  </si>
  <si>
    <t>Накопленный Итог</t>
  </si>
  <si>
    <t>Данные, сгруппированные по месяцам (с учетом нерабочих месяцев)</t>
  </si>
  <si>
    <t>Подсчет месяцев</t>
  </si>
  <si>
    <t>Год</t>
  </si>
  <si>
    <t>начало</t>
  </si>
  <si>
    <t>окончание</t>
  </si>
  <si>
    <t>Всего месяцев</t>
  </si>
  <si>
    <t>Позиция 1й даты в текущем месяце</t>
  </si>
  <si>
    <t>Текущий месяц</t>
  </si>
  <si>
    <t>Месяцы</t>
  </si>
  <si>
    <t>Позиция 1й даты месяца</t>
  </si>
  <si>
    <t>Сумма по полю План</t>
  </si>
  <si>
    <t>Сумма по полю Факт</t>
  </si>
  <si>
    <t>МесяцГод</t>
  </si>
  <si>
    <t>Простой случай - работа выполняется каждый месяц в течение всей длительности проекта</t>
  </si>
  <si>
    <t>служебный</t>
  </si>
  <si>
    <t>Сводная таблица группировки по месяцам с нарастающим итогом</t>
  </si>
  <si>
    <t>Выполнение работ нарастающим итогом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</si>
  <si>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</si>
  <si>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</si>
  <si>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</si>
  <si>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</si>
  <si>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</si>
  <si>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</si>
  <si>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</si>
  <si>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</si>
  <si>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</si>
  <si>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Сложный случай - в ходе проекта в некоторых месяцах работа не производится</t>
  </si>
  <si>
    <t>Дней в текущем месяце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</si>
</sst>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mm/yyyy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0"/>
      <name val="Arial Cy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 Cyr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color theme="1"/>
      <name val="Arial Cyr"/>
      <charset val="204"/>
    </font>
    <font>
      <b/>
      <sz val="11"/>
      <name val="Arial Cyr"/>
      <charset val="204"/>
    </font>
    <font>
      <u/>
      <sz val="11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1"/>
    <xf numFmtId="14" fontId="0" fillId="0" borderId="0" xfId="0" applyNumberFormat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9" fontId="0" fillId="0" borderId="1" xfId="7" applyFont="1" applyBorder="1"/>
    <xf numFmtId="0" fontId="3" fillId="2" borderId="1" xfId="0" applyFont="1" applyFill="1" applyBorder="1"/>
    <xf numFmtId="0" fontId="9" fillId="0" borderId="0" xfId="0" applyFont="1"/>
    <xf numFmtId="14" fontId="0" fillId="0" borderId="1" xfId="0" applyNumberFormat="1" applyBorder="1"/>
    <xf numFmtId="0" fontId="11" fillId="5" borderId="0" xfId="1" applyFont="1" applyFill="1" applyAlignment="1">
      <alignment vertical="center" wrapText="1"/>
    </xf>
    <xf numFmtId="0" fontId="10" fillId="4" borderId="0" xfId="4" applyFont="1" applyFill="1" applyAlignment="1" applyProtection="1">
      <alignment vertical="center"/>
    </xf>
    <xf numFmtId="0" fontId="14" fillId="6" borderId="0" xfId="0" applyFont="1" applyFill="1" applyAlignment="1"/>
    <xf numFmtId="0" fontId="15" fillId="6" borderId="0" xfId="0" applyFont="1" applyFill="1" applyAlignment="1">
      <alignment vertical="center"/>
    </xf>
    <xf numFmtId="0" fontId="16" fillId="3" borderId="0" xfId="0" applyFont="1" applyFill="1" applyAlignment="1"/>
    <xf numFmtId="0" fontId="0" fillId="3" borderId="0" xfId="0" applyFill="1"/>
    <xf numFmtId="0" fontId="3" fillId="0" borderId="0" xfId="0" applyFont="1" applyAlignment="1">
      <alignment wrapText="1"/>
    </xf>
    <xf numFmtId="165" fontId="0" fillId="0" borderId="1" xfId="0" applyNumberFormat="1" applyBorder="1"/>
    <xf numFmtId="0" fontId="9" fillId="0" borderId="1" xfId="0" applyFont="1" applyBorder="1"/>
    <xf numFmtId="3" fontId="0" fillId="0" borderId="1" xfId="0" applyNumberFormat="1" applyBorder="1"/>
    <xf numFmtId="3" fontId="3" fillId="0" borderId="1" xfId="0" applyNumberFormat="1" applyFont="1" applyBorder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Border="1"/>
    <xf numFmtId="0" fontId="0" fillId="0" borderId="0" xfId="0" applyFill="1" applyBorder="1"/>
    <xf numFmtId="9" fontId="8" fillId="7" borderId="1" xfId="7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Continuous"/>
    </xf>
    <xf numFmtId="0" fontId="17" fillId="0" borderId="1" xfId="0" applyFont="1" applyBorder="1"/>
    <xf numFmtId="0" fontId="3" fillId="0" borderId="2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165" fontId="0" fillId="0" borderId="1" xfId="0" applyNumberFormat="1" applyFont="1" applyBorder="1"/>
    <xf numFmtId="0" fontId="18" fillId="0" borderId="0" xfId="0" applyFont="1" applyAlignment="1">
      <alignment wrapText="1"/>
    </xf>
    <xf numFmtId="0" fontId="10" fillId="4" borderId="0" xfId="4" applyFont="1" applyFill="1" applyAlignment="1" applyProtection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19" fillId="6" borderId="0" xfId="10" applyFont="1" applyFill="1" applyAlignment="1" applyProtection="1"/>
  </cellXfs>
  <cellStyles count="11">
    <cellStyle name="Currency_TapePivot" xfId="3"/>
    <cellStyle name="Normal_ALLOC1" xfId="8"/>
    <cellStyle name="Гиперссылка" xfId="10" builtinId="8"/>
    <cellStyle name="Гиперссылка 2" xfId="2"/>
    <cellStyle name="Гиперссылка 3" xfId="4"/>
    <cellStyle name="Гиперссылка 4" xfId="9"/>
    <cellStyle name="Обычный" xfId="0" builtinId="0"/>
    <cellStyle name="Обычный 2" xfId="1"/>
    <cellStyle name="Обычный 3" xfId="5"/>
    <cellStyle name="Обычный 4" xfId="6"/>
    <cellStyle name="Процентный" xfId="7" builtinId="5"/>
  </cellStyles>
  <dxfs count="16">
    <dxf>
      <fill>
        <patternFill>
          <bgColor theme="6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</dxfs>
  <tableStyles count="0" defaultTableStyle="TableStyleMedium9" defaultPivotStyle="PivotStyleLight16"/>
  <colors>
    <mruColors>
      <color rgb="FF99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[1.ПФА.xlsx]простой случай!СводнаяТаблица1</c:name>
    <c:fmtId val="0"/>
  </c:pivotSource>
  <c:chart>
    <c:title>
      <c:tx>
        <c:strRef>
          <c:f>'простой случай'!$G$26</c:f>
          <c:strCache>
            <c:ptCount val="1"/>
            <c:pt idx="0">
              <c:v>Выполнение работ нарастающим итогом</c:v>
            </c:pt>
          </c:strCache>
        </c:strRef>
      </c:tx>
      <c:layout>
        <c:manualLayout>
          <c:xMode val="edge"/>
          <c:yMode val="edge"/>
          <c:x val="0.16346423730000784"/>
          <c:y val="9.6201516477107021E-2"/>
        </c:manualLayout>
      </c:layout>
      <c:overlay val="1"/>
    </c:title>
    <c:autoTitleDeleted val="0"/>
    <c:pivotFmts>
      <c:pivotFmt>
        <c:idx val="0"/>
      </c:pivotFmt>
      <c:pivotFmt>
        <c:idx val="1"/>
      </c:pivotFmt>
    </c:pivotFmts>
    <c:plotArea>
      <c:layout>
        <c:manualLayout>
          <c:layoutTarget val="inner"/>
          <c:xMode val="edge"/>
          <c:yMode val="edge"/>
          <c:x val="0.1073068064294161"/>
          <c:y val="0.21241688538932632"/>
          <c:w val="0.86966859911741801"/>
          <c:h val="0.47071449402158061"/>
        </c:manualLayout>
      </c:layout>
      <c:lineChart>
        <c:grouping val="standard"/>
        <c:varyColors val="0"/>
        <c:ser>
          <c:idx val="0"/>
          <c:order val="0"/>
          <c:tx>
            <c:strRef>
              <c:f>'простой случай'!$G$26</c:f>
              <c:strCache>
                <c:ptCount val="1"/>
                <c:pt idx="0">
                  <c:v>Сумма по полю План</c:v>
                </c:pt>
              </c:strCache>
            </c:strRef>
          </c:tx>
          <c:cat>
            <c:strRef>
              <c:f>'простой случай'!$G$26</c:f>
              <c:strCache>
                <c:ptCount val="9"/>
                <c:pt idx="0">
                  <c:v>2023-09</c:v>
                </c:pt>
                <c:pt idx="1">
                  <c:v>2023-10</c:v>
                </c:pt>
                <c:pt idx="2">
                  <c:v>2023-11</c:v>
                </c:pt>
                <c:pt idx="3">
                  <c:v>2023-12</c:v>
                </c:pt>
                <c:pt idx="4">
                  <c:v>2024-01</c:v>
                </c:pt>
                <c:pt idx="5">
                  <c:v>2024-02</c:v>
                </c:pt>
                <c:pt idx="6">
                  <c:v>2024-03</c:v>
                </c:pt>
                <c:pt idx="7">
                  <c:v>2024-04</c:v>
                </c:pt>
                <c:pt idx="8">
                  <c:v>2024-05</c:v>
                </c:pt>
              </c:strCache>
            </c:strRef>
          </c:cat>
          <c:val>
            <c:numRef>
              <c:f>'простой случай'!$G$26</c:f>
              <c:numCache>
                <c:formatCode>General</c:formatCode>
                <c:ptCount val="9"/>
                <c:pt idx="0">
                  <c:v>144000</c:v>
                </c:pt>
                <c:pt idx="1">
                  <c:v>340800</c:v>
                </c:pt>
                <c:pt idx="2">
                  <c:v>472022</c:v>
                </c:pt>
                <c:pt idx="3">
                  <c:v>635222</c:v>
                </c:pt>
                <c:pt idx="4">
                  <c:v>780822</c:v>
                </c:pt>
                <c:pt idx="5">
                  <c:v>912822</c:v>
                </c:pt>
                <c:pt idx="6">
                  <c:v>1044822</c:v>
                </c:pt>
                <c:pt idx="7">
                  <c:v>1176822</c:v>
                </c:pt>
                <c:pt idx="8">
                  <c:v>1264822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'простой случай'!$G$26</c:f>
              <c:strCache>
                <c:ptCount val="1"/>
                <c:pt idx="0">
                  <c:v>Сумма по полю Факт</c:v>
                </c:pt>
              </c:strCache>
            </c:strRef>
          </c:tx>
          <c:cat>
            <c:strRef>
              <c:f>'простой случай'!$G$26</c:f>
              <c:strCache>
                <c:ptCount val="9"/>
                <c:pt idx="0">
                  <c:v>2023-09</c:v>
                </c:pt>
                <c:pt idx="1">
                  <c:v>2023-10</c:v>
                </c:pt>
                <c:pt idx="2">
                  <c:v>2023-11</c:v>
                </c:pt>
                <c:pt idx="3">
                  <c:v>2023-12</c:v>
                </c:pt>
                <c:pt idx="4">
                  <c:v>2024-01</c:v>
                </c:pt>
                <c:pt idx="5">
                  <c:v>2024-02</c:v>
                </c:pt>
                <c:pt idx="6">
                  <c:v>2024-03</c:v>
                </c:pt>
                <c:pt idx="7">
                  <c:v>2024-04</c:v>
                </c:pt>
                <c:pt idx="8">
                  <c:v>2024-05</c:v>
                </c:pt>
              </c:strCache>
            </c:strRef>
          </c:cat>
          <c:val>
            <c:numRef>
              <c:f>'простой случай'!$G$26</c:f>
              <c:numCache>
                <c:formatCode>General</c:formatCode>
                <c:ptCount val="9"/>
                <c:pt idx="0">
                  <c:v>146400</c:v>
                </c:pt>
                <c:pt idx="1">
                  <c:v>317760</c:v>
                </c:pt>
                <c:pt idx="2">
                  <c:v>456071</c:v>
                </c:pt>
                <c:pt idx="3">
                  <c:v>597191</c:v>
                </c:pt>
                <c:pt idx="4">
                  <c:v>707751</c:v>
                </c:pt>
                <c:pt idx="5">
                  <c:v>780351</c:v>
                </c:pt>
                <c:pt idx="6">
                  <c:v>861751</c:v>
                </c:pt>
                <c:pt idx="7">
                  <c:v>958551</c:v>
                </c:pt>
                <c:pt idx="8">
                  <c:v>1053151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54592"/>
        <c:axId val="63056512"/>
      </c:lineChart>
      <c:catAx>
        <c:axId val="6305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63056512"/>
        <c:crosses val="autoZero"/>
        <c:auto val="1"/>
        <c:lblAlgn val="ctr"/>
        <c:lblOffset val="100"/>
        <c:noMultiLvlLbl val="0"/>
      </c:catAx>
      <c:valAx>
        <c:axId val="6305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54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10457484023288"/>
          <c:y val="0.82688903470399533"/>
          <c:w val="0.56816326530612249"/>
          <c:h val="0.150983522892971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'Ввод данных'!$M$11</c:f>
          <c:strCache>
            <c:ptCount val="1"/>
            <c:pt idx="0">
              <c:v>Строительство подстанции; Выполнено на текущую дату: 80%</c:v>
            </c:pt>
          </c:strCache>
        </c:strRef>
      </c:tx>
      <c:layout>
        <c:manualLayout>
          <c:xMode val="edge"/>
          <c:yMode val="edge"/>
          <c:x val="0.11615632183908046"/>
          <c:y val="3.0372057706909691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6971211931841"/>
          <c:y val="0.12915465276985305"/>
          <c:w val="0.85275882181393992"/>
          <c:h val="0.71260197547770299"/>
        </c:manualLayout>
      </c:layout>
      <c:lineChart>
        <c:grouping val="standard"/>
        <c:varyColors val="0"/>
        <c:ser>
          <c:idx val="1"/>
          <c:order val="0"/>
          <c:tx>
            <c:strRef>
              <c:f>'Ввод данных'!$J$13</c:f>
              <c:strCache>
                <c:ptCount val="1"/>
                <c:pt idx="0">
                  <c:v>План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cat>
            <c:numRef>
              <c:f>[0]!ДатаДиаг</c:f>
              <c:numCache>
                <c:formatCode>mm/yyyy</c:formatCode>
                <c:ptCount val="1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</c:numCache>
            </c:numRef>
          </c:cat>
          <c:val>
            <c:numRef>
              <c:f>[0]!ПланНакопл</c:f>
              <c:numCache>
                <c:formatCode>#,##0</c:formatCode>
                <c:ptCount val="17"/>
                <c:pt idx="0">
                  <c:v>24000</c:v>
                </c:pt>
                <c:pt idx="1">
                  <c:v>312000</c:v>
                </c:pt>
                <c:pt idx="2">
                  <c:v>692822</c:v>
                </c:pt>
                <c:pt idx="3">
                  <c:v>692822</c:v>
                </c:pt>
                <c:pt idx="4">
                  <c:v>846822</c:v>
                </c:pt>
                <c:pt idx="5">
                  <c:v>978822</c:v>
                </c:pt>
                <c:pt idx="6">
                  <c:v>978822</c:v>
                </c:pt>
                <c:pt idx="7">
                  <c:v>978822</c:v>
                </c:pt>
                <c:pt idx="8">
                  <c:v>978822</c:v>
                </c:pt>
                <c:pt idx="9">
                  <c:v>978822</c:v>
                </c:pt>
                <c:pt idx="10">
                  <c:v>978822</c:v>
                </c:pt>
                <c:pt idx="11">
                  <c:v>978822</c:v>
                </c:pt>
                <c:pt idx="12">
                  <c:v>978822</c:v>
                </c:pt>
                <c:pt idx="13">
                  <c:v>978822</c:v>
                </c:pt>
                <c:pt idx="14">
                  <c:v>978822</c:v>
                </c:pt>
                <c:pt idx="15">
                  <c:v>1176822</c:v>
                </c:pt>
                <c:pt idx="16">
                  <c:v>1264822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'Ввод данных'!$K$13</c:f>
              <c:strCache>
                <c:ptCount val="1"/>
                <c:pt idx="0">
                  <c:v>Факт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[0]!ДатаДиаг</c:f>
              <c:numCache>
                <c:formatCode>mm/yyyy</c:formatCode>
                <c:ptCount val="1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</c:numCache>
            </c:numRef>
          </c:cat>
          <c:val>
            <c:numRef>
              <c:f>[0]!ФактНакопл</c:f>
              <c:numCache>
                <c:formatCode>#,##0</c:formatCode>
                <c:ptCount val="17"/>
                <c:pt idx="0">
                  <c:v>24000</c:v>
                </c:pt>
                <c:pt idx="1">
                  <c:v>280320</c:v>
                </c:pt>
                <c:pt idx="2">
                  <c:v>646151</c:v>
                </c:pt>
                <c:pt idx="3">
                  <c:v>646151</c:v>
                </c:pt>
                <c:pt idx="4">
                  <c:v>738551</c:v>
                </c:pt>
                <c:pt idx="5">
                  <c:v>828751</c:v>
                </c:pt>
                <c:pt idx="6">
                  <c:v>828751</c:v>
                </c:pt>
                <c:pt idx="7">
                  <c:v>828751</c:v>
                </c:pt>
                <c:pt idx="8">
                  <c:v>828751</c:v>
                </c:pt>
                <c:pt idx="9">
                  <c:v>828751</c:v>
                </c:pt>
                <c:pt idx="10">
                  <c:v>828751</c:v>
                </c:pt>
                <c:pt idx="11">
                  <c:v>828751</c:v>
                </c:pt>
                <c:pt idx="12">
                  <c:v>828751</c:v>
                </c:pt>
                <c:pt idx="13">
                  <c:v>828751</c:v>
                </c:pt>
                <c:pt idx="14">
                  <c:v>828751</c:v>
                </c:pt>
                <c:pt idx="15">
                  <c:v>958551</c:v>
                </c:pt>
                <c:pt idx="16">
                  <c:v>1009151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1968"/>
        <c:axId val="135973504"/>
      </c:lineChart>
      <c:dateAx>
        <c:axId val="135971968"/>
        <c:scaling>
          <c:orientation val="minMax"/>
        </c:scaling>
        <c:delete val="0"/>
        <c:axPos val="b"/>
        <c:majorGridlines/>
        <c:numFmt formatCode="mm/yyyy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5973504"/>
        <c:crosses val="autoZero"/>
        <c:auto val="1"/>
        <c:lblOffset val="100"/>
        <c:baseTimeUnit val="months"/>
      </c:dateAx>
      <c:valAx>
        <c:axId val="135973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97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814763865077491"/>
          <c:y val="0.94076031650834802"/>
          <c:w val="0.18718133505801995"/>
          <c:h val="5.923968349165199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'Детализация по месяцам'!$J$16</c:f>
          <c:strCache>
            <c:ptCount val="1"/>
            <c:pt idx="0">
              <c:v>Строительство подстанции; Ноябрь, 2013; 
% вып. месяца: 96%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59257102283854E-2"/>
          <c:y val="0.18314802724420962"/>
          <c:w val="0.91130051019864344"/>
          <c:h val="0.63358441214400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'Детализация по месяцам'!$F$19</c:f>
              <c:strCache>
                <c:ptCount val="1"/>
                <c:pt idx="0">
                  <c:v>План</c:v>
                </c:pt>
              </c:strCache>
            </c:strRef>
          </c:tx>
          <c:invertIfNegative val="0"/>
          <c:cat>
            <c:numRef>
              <c:f>'Детализация по месяцам'!$D$20:$D$50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'Детализация по месяцам'!$F$20:$F$50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28800</c:v>
                </c:pt>
                <c:pt idx="10">
                  <c:v>11222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24000</c:v>
                </c:pt>
                <c:pt idx="20">
                  <c:v>0</c:v>
                </c:pt>
                <c:pt idx="21">
                  <c:v>0</c:v>
                </c:pt>
                <c:pt idx="22">
                  <c:v>24000</c:v>
                </c:pt>
                <c:pt idx="23">
                  <c:v>24000</c:v>
                </c:pt>
                <c:pt idx="24">
                  <c:v>28800</c:v>
                </c:pt>
                <c:pt idx="25">
                  <c:v>28800</c:v>
                </c:pt>
                <c:pt idx="26">
                  <c:v>28800</c:v>
                </c:pt>
                <c:pt idx="27">
                  <c:v>28800</c:v>
                </c:pt>
                <c:pt idx="28">
                  <c:v>28800</c:v>
                </c:pt>
                <c:pt idx="29">
                  <c:v>28800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'Детализация по месяцам'!$G$19</c:f>
              <c:strCache>
                <c:ptCount val="1"/>
                <c:pt idx="0">
                  <c:v>Факт</c:v>
                </c:pt>
              </c:strCache>
            </c:strRef>
          </c:tx>
          <c:invertIfNegative val="0"/>
          <c:cat>
            <c:numRef>
              <c:f>'Детализация по месяцам'!$D$20:$D$50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'Детализация по месяцам'!$G$20:$G$50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37440</c:v>
                </c:pt>
                <c:pt idx="10">
                  <c:v>11111</c:v>
                </c:pt>
                <c:pt idx="11">
                  <c:v>26400</c:v>
                </c:pt>
                <c:pt idx="12">
                  <c:v>31200</c:v>
                </c:pt>
                <c:pt idx="13">
                  <c:v>21600</c:v>
                </c:pt>
                <c:pt idx="14">
                  <c:v>24000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24000</c:v>
                </c:pt>
                <c:pt idx="20">
                  <c:v>0</c:v>
                </c:pt>
                <c:pt idx="21">
                  <c:v>0</c:v>
                </c:pt>
                <c:pt idx="22">
                  <c:v>28800</c:v>
                </c:pt>
                <c:pt idx="23">
                  <c:v>14400</c:v>
                </c:pt>
                <c:pt idx="24">
                  <c:v>23040</c:v>
                </c:pt>
                <c:pt idx="25">
                  <c:v>20160</c:v>
                </c:pt>
                <c:pt idx="26">
                  <c:v>25920</c:v>
                </c:pt>
                <c:pt idx="27">
                  <c:v>28800</c:v>
                </c:pt>
                <c:pt idx="28">
                  <c:v>34560</c:v>
                </c:pt>
                <c:pt idx="29">
                  <c:v>14400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8"/>
        <c:axId val="136863744"/>
        <c:axId val="136865280"/>
      </c:barChart>
      <c:catAx>
        <c:axId val="136863744"/>
        <c:scaling>
          <c:orientation val="minMax"/>
        </c:scaling>
        <c:delete val="0"/>
        <c:axPos val="b"/>
        <c:numFmt formatCode="d" sourceLinked="0"/>
        <c:majorTickMark val="out"/>
        <c:minorTickMark val="none"/>
        <c:tickLblPos val="nextTo"/>
        <c:crossAx val="136865280"/>
        <c:crosses val="autoZero"/>
        <c:auto val="1"/>
        <c:lblAlgn val="ctr"/>
        <c:lblOffset val="100"/>
        <c:noMultiLvlLbl val="0"/>
      </c:catAx>
      <c:valAx>
        <c:axId val="136865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863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croll" dx="16" fmlaLink="$A$12" horiz="1" max="100" page="10" val="4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0</xdr:rowOff>
    </xdr:from>
    <xdr:to>
      <xdr:col>11</xdr:col>
      <xdr:colOff>352425</xdr:colOff>
      <xdr:row>43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314324</xdr:colOff>
      <xdr:row>12</xdr:row>
      <xdr:rowOff>1</xdr:rowOff>
    </xdr:from>
    <xdr:to>
      <xdr:col>21</xdr:col>
      <xdr:colOff>1400174</xdr:colOff>
      <xdr:row>37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157443</xdr:rowOff>
    </xdr:from>
    <xdr:to>
      <xdr:col>21</xdr:col>
      <xdr:colOff>395567</xdr:colOff>
      <xdr:row>39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38100</xdr:rowOff>
        </xdr:from>
        <xdr:to>
          <xdr:col>1</xdr:col>
          <xdr:colOff>66675</xdr:colOff>
          <xdr:row>10</xdr:row>
          <xdr:rowOff>123825</xdr:rowOff>
        </xdr:to>
        <xdr:sp macro="" textlink="">
          <xdr:nvSpPr>
            <xdr:cNvPr id="4099" name="Scroll Ba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УУУУУ" refreshedDate="44983.804196643519" createdVersion="4" refreshedVersion="4" minRefreshableVersion="3" recordCount="53">
  <cacheSource type="worksheet">
    <worksheetSource name="Таблица13"/>
  </cacheSource>
  <cacheFields count="5">
    <cacheField name="Дата" numFmtId="14">
      <sharedItems containsSemiMixedTypes="0" containsNonDate="0" containsDate="1" containsString="0" minDate="2023-09-01T00:00:00" maxDate="2024-05-19T00:00:00" count="53">
        <d v="2023-09-01T00:00:00"/>
        <d v="2023-09-06T00:00:00"/>
        <d v="2023-09-11T00:00:00"/>
        <d v="2023-09-16T00:00:00"/>
        <d v="2023-09-21T00:00:00"/>
        <d v="2023-09-26T00:00:00"/>
        <d v="2023-10-01T00:00:00"/>
        <d v="2023-10-06T00:00:00"/>
        <d v="2023-10-11T00:00:00"/>
        <d v="2023-10-16T00:00:00"/>
        <d v="2023-10-21T00:00:00"/>
        <d v="2023-10-26T00:00:00"/>
        <d v="2023-10-31T00:00:00"/>
        <d v="2023-11-05T00:00:00"/>
        <d v="2023-11-10T00:00:00"/>
        <d v="2023-11-15T00:00:00"/>
        <d v="2023-11-20T00:00:00"/>
        <d v="2023-11-25T00:00:00"/>
        <d v="2023-11-30T00:00:00"/>
        <d v="2023-12-05T00:00:00"/>
        <d v="2023-12-10T00:00:00"/>
        <d v="2023-12-15T00:00:00"/>
        <d v="2023-12-20T00:00:00"/>
        <d v="2023-12-25T00:00:00"/>
        <d v="2023-12-30T00:00:00"/>
        <d v="2024-01-04T00:00:00"/>
        <d v="2024-01-09T00:00:00"/>
        <d v="2024-01-14T00:00:00"/>
        <d v="2024-01-19T00:00:00"/>
        <d v="2024-01-24T00:00:00"/>
        <d v="2024-01-29T00:00:00"/>
        <d v="2024-02-03T00:00:00"/>
        <d v="2024-02-08T00:00:00"/>
        <d v="2024-02-13T00:00:00"/>
        <d v="2024-02-18T00:00:00"/>
        <d v="2024-02-23T00:00:00"/>
        <d v="2024-02-28T00:00:00"/>
        <d v="2024-03-04T00:00:00"/>
        <d v="2024-03-09T00:00:00"/>
        <d v="2024-03-14T00:00:00"/>
        <d v="2024-03-19T00:00:00"/>
        <d v="2024-03-24T00:00:00"/>
        <d v="2024-03-29T00:00:00"/>
        <d v="2024-04-03T00:00:00"/>
        <d v="2024-04-08T00:00:00"/>
        <d v="2024-04-13T00:00:00"/>
        <d v="2024-04-18T00:00:00"/>
        <d v="2024-04-23T00:00:00"/>
        <d v="2024-04-28T00:00:00"/>
        <d v="2024-05-03T00:00:00"/>
        <d v="2024-05-08T00:00:00"/>
        <d v="2024-05-13T00:00:00"/>
        <d v="2024-05-18T00:00:00"/>
      </sharedItems>
      <fieldGroup par="4" base="0">
        <rangePr groupBy="months" startDate="2023-09-01T00:00:00" endDate="2024-05-19T00:00:00"/>
        <groupItems count="14">
          <s v="&lt;01.09.2023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9.05.2024"/>
        </groupItems>
      </fieldGroup>
    </cacheField>
    <cacheField name="План" numFmtId="0">
      <sharedItems containsSemiMixedTypes="0" containsString="0" containsNumber="1" containsInteger="1" minValue="11222" maxValue="28800"/>
    </cacheField>
    <cacheField name="Факт" numFmtId="0">
      <sharedItems containsSemiMixedTypes="0" containsString="0" containsNumber="1" containsInteger="1" minValue="4400" maxValue="37440"/>
    </cacheField>
    <cacheField name="МесяцГод" numFmtId="0">
      <sharedItems count="18">
        <s v="2023-09"/>
        <s v="2023-10"/>
        <s v="2023-11"/>
        <s v="2023-12"/>
        <s v="2024-01"/>
        <s v="2024-02"/>
        <s v="2024-03"/>
        <s v="2024-04"/>
        <s v="2024-05"/>
        <s v="202310" u="1"/>
        <s v="202311" u="1"/>
        <s v="202312" u="1"/>
        <s v="202401" u="1"/>
        <s v="202402" u="1"/>
        <s v="202403" u="1"/>
        <s v="202404" u="1"/>
        <s v="202405" u="1"/>
        <s v="202309" u="1"/>
      </sharedItems>
    </cacheField>
    <cacheField name="Годы" numFmtId="0" databaseField="0">
      <fieldGroup base="0">
        <rangePr groupBy="years" startDate="2023-09-01T00:00:00" endDate="2024-05-19T00:00:00"/>
        <groupItems count="4">
          <s v="&lt;01.09.2023"/>
          <s v="2023"/>
          <s v="2024"/>
          <s v="&gt;19.05.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n v="24000"/>
    <n v="24000"/>
    <x v="0"/>
  </r>
  <r>
    <x v="1"/>
    <n v="24000"/>
    <n v="21600"/>
    <x v="0"/>
  </r>
  <r>
    <x v="2"/>
    <n v="24000"/>
    <n v="31200"/>
    <x v="0"/>
  </r>
  <r>
    <x v="3"/>
    <n v="24000"/>
    <n v="24000"/>
    <x v="0"/>
  </r>
  <r>
    <x v="4"/>
    <n v="24000"/>
    <n v="31200"/>
    <x v="0"/>
  </r>
  <r>
    <x v="5"/>
    <n v="24000"/>
    <n v="14400"/>
    <x v="0"/>
  </r>
  <r>
    <x v="6"/>
    <n v="24000"/>
    <n v="21600"/>
    <x v="1"/>
  </r>
  <r>
    <x v="7"/>
    <n v="28800"/>
    <n v="20160"/>
    <x v="1"/>
  </r>
  <r>
    <x v="8"/>
    <n v="28800"/>
    <n v="31680"/>
    <x v="1"/>
  </r>
  <r>
    <x v="9"/>
    <n v="28800"/>
    <n v="11520"/>
    <x v="1"/>
  </r>
  <r>
    <x v="10"/>
    <n v="28800"/>
    <n v="37440"/>
    <x v="1"/>
  </r>
  <r>
    <x v="11"/>
    <n v="28800"/>
    <n v="11520"/>
    <x v="1"/>
  </r>
  <r>
    <x v="12"/>
    <n v="28800"/>
    <n v="37440"/>
    <x v="1"/>
  </r>
  <r>
    <x v="13"/>
    <n v="11222"/>
    <n v="11111"/>
    <x v="2"/>
  </r>
  <r>
    <x v="14"/>
    <n v="24000"/>
    <n v="26400"/>
    <x v="2"/>
  </r>
  <r>
    <x v="15"/>
    <n v="24000"/>
    <n v="31200"/>
    <x v="2"/>
  </r>
  <r>
    <x v="16"/>
    <n v="24000"/>
    <n v="21600"/>
    <x v="2"/>
  </r>
  <r>
    <x v="17"/>
    <n v="24000"/>
    <n v="24000"/>
    <x v="2"/>
  </r>
  <r>
    <x v="18"/>
    <n v="24000"/>
    <n v="24000"/>
    <x v="2"/>
  </r>
  <r>
    <x v="19"/>
    <n v="24000"/>
    <n v="28800"/>
    <x v="3"/>
  </r>
  <r>
    <x v="20"/>
    <n v="24000"/>
    <n v="14400"/>
    <x v="3"/>
  </r>
  <r>
    <x v="21"/>
    <n v="28800"/>
    <n v="23040"/>
    <x v="3"/>
  </r>
  <r>
    <x v="22"/>
    <n v="28800"/>
    <n v="20160"/>
    <x v="3"/>
  </r>
  <r>
    <x v="23"/>
    <n v="28800"/>
    <n v="25920"/>
    <x v="3"/>
  </r>
  <r>
    <x v="24"/>
    <n v="28800"/>
    <n v="28800"/>
    <x v="3"/>
  </r>
  <r>
    <x v="25"/>
    <n v="28800"/>
    <n v="34560"/>
    <x v="4"/>
  </r>
  <r>
    <x v="26"/>
    <n v="28800"/>
    <n v="14400"/>
    <x v="4"/>
  </r>
  <r>
    <x v="27"/>
    <n v="22000"/>
    <n v="6600"/>
    <x v="4"/>
  </r>
  <r>
    <x v="28"/>
    <n v="22000"/>
    <n v="15400"/>
    <x v="4"/>
  </r>
  <r>
    <x v="29"/>
    <n v="22000"/>
    <n v="17600"/>
    <x v="4"/>
  </r>
  <r>
    <x v="30"/>
    <n v="22000"/>
    <n v="22000"/>
    <x v="4"/>
  </r>
  <r>
    <x v="31"/>
    <n v="22000"/>
    <n v="11000"/>
    <x v="5"/>
  </r>
  <r>
    <x v="32"/>
    <n v="22000"/>
    <n v="15400"/>
    <x v="5"/>
  </r>
  <r>
    <x v="33"/>
    <n v="22000"/>
    <n v="4400"/>
    <x v="5"/>
  </r>
  <r>
    <x v="34"/>
    <n v="22000"/>
    <n v="15400"/>
    <x v="5"/>
  </r>
  <r>
    <x v="35"/>
    <n v="22000"/>
    <n v="13200"/>
    <x v="5"/>
  </r>
  <r>
    <x v="36"/>
    <n v="22000"/>
    <n v="13200"/>
    <x v="5"/>
  </r>
  <r>
    <x v="37"/>
    <n v="22000"/>
    <n v="17600"/>
    <x v="6"/>
  </r>
  <r>
    <x v="38"/>
    <n v="22000"/>
    <n v="17600"/>
    <x v="6"/>
  </r>
  <r>
    <x v="39"/>
    <n v="22000"/>
    <n v="13200"/>
    <x v="6"/>
  </r>
  <r>
    <x v="40"/>
    <n v="22000"/>
    <n v="22000"/>
    <x v="6"/>
  </r>
  <r>
    <x v="41"/>
    <n v="22000"/>
    <n v="6600"/>
    <x v="6"/>
  </r>
  <r>
    <x v="42"/>
    <n v="22000"/>
    <n v="4400"/>
    <x v="6"/>
  </r>
  <r>
    <x v="43"/>
    <n v="22000"/>
    <n v="15400"/>
    <x v="7"/>
  </r>
  <r>
    <x v="44"/>
    <n v="22000"/>
    <n v="19800"/>
    <x v="7"/>
  </r>
  <r>
    <x v="45"/>
    <n v="22000"/>
    <n v="8800"/>
    <x v="7"/>
  </r>
  <r>
    <x v="46"/>
    <n v="22000"/>
    <n v="17600"/>
    <x v="7"/>
  </r>
  <r>
    <x v="47"/>
    <n v="22000"/>
    <n v="24200"/>
    <x v="7"/>
  </r>
  <r>
    <x v="48"/>
    <n v="22000"/>
    <n v="11000"/>
    <x v="7"/>
  </r>
  <r>
    <x v="49"/>
    <n v="22000"/>
    <n v="28600"/>
    <x v="8"/>
  </r>
  <r>
    <x v="50"/>
    <n v="22000"/>
    <n v="22000"/>
    <x v="8"/>
  </r>
  <r>
    <x v="51"/>
    <n v="22000"/>
    <n v="22000"/>
    <x v="8"/>
  </r>
  <r>
    <x v="52"/>
    <n v="22000"/>
    <n v="220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4" applyNumberFormats="0" applyBorderFormats="0" applyFontFormats="0" applyPatternFormats="0" applyAlignmentFormats="0" applyWidthHeightFormats="1" dataCaption="Значения" updatedVersion="4" minRefreshableVersion="3" useAutoFormatting="1" rowGrandTotals="0" itemPrintTitles="1" createdVersion="4" indent="0" compact="0" compactData="0" multipleFieldFilters="0" chartFormat="3">
  <location ref="G13:I22" firstHeaderRow="0" firstDataRow="1" firstDataCol="1"/>
  <pivotFields count="5">
    <pivotField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18">
        <item m="1" x="17"/>
        <item m="1" x="9"/>
        <item m="1" x="10"/>
        <item m="1" x="11"/>
        <item m="1" x="12"/>
        <item m="1" x="13"/>
        <item m="1" x="14"/>
        <item m="1" x="15"/>
        <item m="1" x="16"/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3"/>
  </rowFields>
  <rowItems count="9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-2"/>
  </colFields>
  <colItems count="2">
    <i>
      <x/>
    </i>
    <i i="1">
      <x v="1"/>
    </i>
  </colItems>
  <dataFields count="2">
    <dataField name="Сумма по полю План" fld="1" showDataAs="runTotal" baseField="3" baseItem="0"/>
    <dataField name="Сумма по полю Факт" fld="2" showDataAs="runTotal" baseField="3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13" displayName="Таблица13" ref="B13:E66" headerRowDxfId="10" dataDxfId="9">
  <autoFilter ref="B13:E66"/>
  <tableColumns count="4">
    <tableColumn id="1" name="Дата" totalsRowLabel="Итог" dataDxfId="8"/>
    <tableColumn id="2" name="План" dataDxfId="7"/>
    <tableColumn id="3" name="Факт" totalsRowFunction="sum" dataDxfId="6"/>
    <tableColumn id="4" name="МесяцГод" dataDxfId="5">
      <calculatedColumnFormula>YEAR(Таблица13[[#This Row],[Дата]])&amp;TEXT(MONTH(Таблица13[[#This Row],[Дата]]),"-00")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3:D66" headerRowDxfId="15" dataDxfId="14">
  <autoFilter ref="B13:D66"/>
  <tableColumns count="3">
    <tableColumn id="1" name="Дата" totalsRowLabel="Итог" dataDxfId="13"/>
    <tableColumn id="2" name="План" dataDxfId="12"/>
    <tableColumn id="3" name="Факт" totalsRowFunction="sum" dataDxfId="1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xcel2.ru/articles/plan-faktnyi-analiz-v-ms-excel?utm_source=organic_file&amp;utm_medium=file&amp;utm_campaign=file_download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20" Type="http://schemas.openxmlformats.org/officeDocument/2006/relationships/table" Target="../tables/table1.xm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excel2.ru/articles/plan-faktnyi-analiz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2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3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excel2.ru/articles/plan-faktnyi-analiz-v-ms-excel?utm_source=organic_file&amp;utm_medium=file&amp;utm_campaign=file_download" TargetMode="External"/><Relationship Id="rId20" Type="http://schemas.openxmlformats.org/officeDocument/2006/relationships/ctrlProp" Target="../ctrlProps/ctrlProp1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>
      <selection activeCell="A2" sqref="A2"/>
    </sheetView>
  </sheetViews>
  <sheetFormatPr defaultRowHeight="12.75" x14ac:dyDescent="0.2"/>
  <cols>
    <col min="1" max="1" width="7" customWidth="1"/>
    <col min="2" max="2" width="10.7109375" bestFit="1" customWidth="1"/>
    <col min="3" max="3" width="10.140625" bestFit="1" customWidth="1"/>
    <col min="5" max="5" width="12.28515625" customWidth="1"/>
    <col min="6" max="6" width="7.7109375" customWidth="1"/>
    <col min="7" max="7" width="12.5703125" customWidth="1"/>
    <col min="8" max="8" width="21" customWidth="1"/>
    <col min="9" max="10" width="21" bestFit="1" customWidth="1"/>
    <col min="11" max="11" width="10.140625" bestFit="1" customWidth="1"/>
    <col min="12" max="12" width="7.7109375" customWidth="1"/>
    <col min="13" max="13" width="11.7109375" customWidth="1"/>
    <col min="19" max="19" width="10.140625" bestFit="1" customWidth="1"/>
    <col min="20" max="20" width="18.28515625" bestFit="1" customWidth="1"/>
    <col min="21" max="21" width="21" bestFit="1" customWidth="1"/>
    <col min="22" max="22" width="23.85546875" customWidth="1"/>
    <col min="229" max="229" width="10" customWidth="1"/>
    <col min="247" max="247" width="10" customWidth="1"/>
    <col min="310" max="310" width="8.5703125" customWidth="1"/>
    <col min="328" max="328" width="8.5703125" customWidth="1"/>
  </cols>
  <sheetData>
    <row r="1" spans="1:19" ht="26.25" x14ac:dyDescent="0.2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x14ac:dyDescent="0.25">
      <c r="A2" s="42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8.75" x14ac:dyDescent="0.2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4.25" x14ac:dyDescent="0.2">
      <c r="A4" s="16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5.5" x14ac:dyDescent="0.2">
      <c r="B6" s="18" t="s">
        <v>18</v>
      </c>
      <c r="C6" t="s">
        <v>17</v>
      </c>
    </row>
    <row r="8" spans="1:19" ht="38.25" x14ac:dyDescent="0.2">
      <c r="B8" s="29" t="s">
        <v>8</v>
      </c>
      <c r="C8" s="30"/>
      <c r="D8" s="27">
        <f>IFERROR(D9/C9,0)</f>
        <v>0.83264759784380726</v>
      </c>
    </row>
    <row r="9" spans="1:19" x14ac:dyDescent="0.2">
      <c r="B9" s="1" t="s">
        <v>5</v>
      </c>
      <c r="C9" s="22">
        <f>SUM(Таблица13[План])</f>
        <v>1264822</v>
      </c>
      <c r="D9" s="22">
        <f>SUM(Таблица13[Факт])</f>
        <v>1053151</v>
      </c>
    </row>
    <row r="11" spans="1:19" x14ac:dyDescent="0.2">
      <c r="B11" s="2" t="s">
        <v>6</v>
      </c>
      <c r="G11" s="2" t="s">
        <v>36</v>
      </c>
    </row>
    <row r="12" spans="1:19" x14ac:dyDescent="0.2">
      <c r="E12" t="s">
        <v>35</v>
      </c>
    </row>
    <row r="13" spans="1:19" x14ac:dyDescent="0.2">
      <c r="B13" s="2" t="s">
        <v>0</v>
      </c>
      <c r="C13" s="2" t="s">
        <v>1</v>
      </c>
      <c r="D13" s="2" t="s">
        <v>2</v>
      </c>
      <c r="E13" s="10" t="s">
        <v>33</v>
      </c>
      <c r="G13" s="38" t="s">
        <v>33</v>
      </c>
      <c r="H13" t="s">
        <v>31</v>
      </c>
      <c r="I13" t="s">
        <v>32</v>
      </c>
    </row>
    <row r="14" spans="1:19" x14ac:dyDescent="0.2">
      <c r="B14" s="23">
        <v>45170</v>
      </c>
      <c r="C14" s="24">
        <v>24000</v>
      </c>
      <c r="D14" s="24">
        <v>24000</v>
      </c>
      <c r="E14" s="24" t="str">
        <f>YEAR(Таблица13[[#This Row],[Дата]])&amp;TEXT(MONTH(Таблица13[[#This Row],[Дата]]),"-00")</f>
        <v>2023-09</v>
      </c>
      <c r="G14" t="s">
        <v>38</v>
      </c>
      <c r="H14" s="39">
        <v>144000</v>
      </c>
      <c r="I14" s="39">
        <v>146400</v>
      </c>
    </row>
    <row r="15" spans="1:19" x14ac:dyDescent="0.2">
      <c r="B15" s="23">
        <f>B14+5</f>
        <v>45175</v>
      </c>
      <c r="C15" s="24">
        <v>24000</v>
      </c>
      <c r="D15" s="24">
        <v>21600</v>
      </c>
      <c r="E15" s="24" t="str">
        <f>YEAR(Таблица13[[#This Row],[Дата]])&amp;TEXT(MONTH(Таблица13[[#This Row],[Дата]]),"-00")</f>
        <v>2023-09</v>
      </c>
      <c r="G15" t="s">
        <v>39</v>
      </c>
      <c r="H15" s="39">
        <v>340800</v>
      </c>
      <c r="I15" s="39">
        <v>317760</v>
      </c>
    </row>
    <row r="16" spans="1:19" x14ac:dyDescent="0.2">
      <c r="B16" s="23">
        <f t="shared" ref="B16:B66" si="0">B15+5</f>
        <v>45180</v>
      </c>
      <c r="C16" s="24">
        <v>24000</v>
      </c>
      <c r="D16" s="24">
        <v>31200</v>
      </c>
      <c r="E16" s="24" t="str">
        <f>YEAR(Таблица13[[#This Row],[Дата]])&amp;TEXT(MONTH(Таблица13[[#This Row],[Дата]]),"-00")</f>
        <v>2023-09</v>
      </c>
      <c r="G16" t="s">
        <v>40</v>
      </c>
      <c r="H16" s="39">
        <v>472022</v>
      </c>
      <c r="I16" s="39">
        <v>456071</v>
      </c>
    </row>
    <row r="17" spans="2:9" x14ac:dyDescent="0.2">
      <c r="B17" s="23">
        <f t="shared" si="0"/>
        <v>45185</v>
      </c>
      <c r="C17" s="24">
        <v>24000</v>
      </c>
      <c r="D17" s="24">
        <v>24000</v>
      </c>
      <c r="E17" s="24" t="str">
        <f>YEAR(Таблица13[[#This Row],[Дата]])&amp;TEXT(MONTH(Таблица13[[#This Row],[Дата]]),"-00")</f>
        <v>2023-09</v>
      </c>
      <c r="G17" t="s">
        <v>41</v>
      </c>
      <c r="H17" s="39">
        <v>635222</v>
      </c>
      <c r="I17" s="39">
        <v>597191</v>
      </c>
    </row>
    <row r="18" spans="2:9" x14ac:dyDescent="0.2">
      <c r="B18" s="23">
        <f t="shared" si="0"/>
        <v>45190</v>
      </c>
      <c r="C18" s="24">
        <v>24000</v>
      </c>
      <c r="D18" s="24">
        <v>31200</v>
      </c>
      <c r="E18" s="24" t="str">
        <f>YEAR(Таблица13[[#This Row],[Дата]])&amp;TEXT(MONTH(Таблица13[[#This Row],[Дата]]),"-00")</f>
        <v>2023-09</v>
      </c>
      <c r="G18" t="s">
        <v>42</v>
      </c>
      <c r="H18" s="39">
        <v>780822</v>
      </c>
      <c r="I18" s="39">
        <v>707751</v>
      </c>
    </row>
    <row r="19" spans="2:9" x14ac:dyDescent="0.2">
      <c r="B19" s="23">
        <f t="shared" si="0"/>
        <v>45195</v>
      </c>
      <c r="C19" s="24">
        <v>24000</v>
      </c>
      <c r="D19" s="24">
        <v>14400</v>
      </c>
      <c r="E19" s="24" t="str">
        <f>YEAR(Таблица13[[#This Row],[Дата]])&amp;TEXT(MONTH(Таблица13[[#This Row],[Дата]]),"-00")</f>
        <v>2023-09</v>
      </c>
      <c r="G19" t="s">
        <v>43</v>
      </c>
      <c r="H19" s="39">
        <v>912822</v>
      </c>
      <c r="I19" s="39">
        <v>780351</v>
      </c>
    </row>
    <row r="20" spans="2:9" x14ac:dyDescent="0.2">
      <c r="B20" s="23">
        <f t="shared" si="0"/>
        <v>45200</v>
      </c>
      <c r="C20" s="24">
        <v>24000</v>
      </c>
      <c r="D20" s="24">
        <v>21600</v>
      </c>
      <c r="E20" s="24" t="str">
        <f>YEAR(Таблица13[[#This Row],[Дата]])&amp;TEXT(MONTH(Таблица13[[#This Row],[Дата]]),"-00")</f>
        <v>2023-10</v>
      </c>
      <c r="G20" t="s">
        <v>44</v>
      </c>
      <c r="H20" s="39">
        <v>1044822</v>
      </c>
      <c r="I20" s="39">
        <v>861751</v>
      </c>
    </row>
    <row r="21" spans="2:9" x14ac:dyDescent="0.2">
      <c r="B21" s="23">
        <f t="shared" si="0"/>
        <v>45205</v>
      </c>
      <c r="C21" s="24">
        <v>28800</v>
      </c>
      <c r="D21" s="24">
        <v>20160</v>
      </c>
      <c r="E21" s="24" t="str">
        <f>YEAR(Таблица13[[#This Row],[Дата]])&amp;TEXT(MONTH(Таблица13[[#This Row],[Дата]]),"-00")</f>
        <v>2023-10</v>
      </c>
      <c r="G21" t="s">
        <v>45</v>
      </c>
      <c r="H21" s="39">
        <v>1176822</v>
      </c>
      <c r="I21" s="39">
        <v>958551</v>
      </c>
    </row>
    <row r="22" spans="2:9" x14ac:dyDescent="0.2">
      <c r="B22" s="23">
        <f t="shared" si="0"/>
        <v>45210</v>
      </c>
      <c r="C22" s="24">
        <v>28800</v>
      </c>
      <c r="D22" s="24">
        <v>31680</v>
      </c>
      <c r="E22" s="24" t="str">
        <f>YEAR(Таблица13[[#This Row],[Дата]])&amp;TEXT(MONTH(Таблица13[[#This Row],[Дата]]),"-00")</f>
        <v>2023-10</v>
      </c>
      <c r="G22" t="s">
        <v>46</v>
      </c>
      <c r="H22" s="39">
        <v>1264822</v>
      </c>
      <c r="I22" s="39">
        <v>1053151</v>
      </c>
    </row>
    <row r="23" spans="2:9" x14ac:dyDescent="0.2">
      <c r="B23" s="23">
        <f t="shared" si="0"/>
        <v>45215</v>
      </c>
      <c r="C23" s="24">
        <v>28800</v>
      </c>
      <c r="D23" s="24">
        <v>11520</v>
      </c>
      <c r="E23" s="24" t="str">
        <f>YEAR(Таблица13[[#This Row],[Дата]])&amp;TEXT(MONTH(Таблица13[[#This Row],[Дата]]),"-00")</f>
        <v>2023-10</v>
      </c>
    </row>
    <row r="24" spans="2:9" x14ac:dyDescent="0.2">
      <c r="B24" s="23">
        <f t="shared" si="0"/>
        <v>45220</v>
      </c>
      <c r="C24" s="24">
        <v>28800</v>
      </c>
      <c r="D24" s="24">
        <v>37440</v>
      </c>
      <c r="E24" s="24" t="str">
        <f>YEAR(Таблица13[[#This Row],[Дата]])&amp;TEXT(MONTH(Таблица13[[#This Row],[Дата]]),"-00")</f>
        <v>2023-10</v>
      </c>
    </row>
    <row r="25" spans="2:9" x14ac:dyDescent="0.2">
      <c r="B25" s="23">
        <f t="shared" si="0"/>
        <v>45225</v>
      </c>
      <c r="C25" s="24">
        <v>28800</v>
      </c>
      <c r="D25" s="24">
        <v>11520</v>
      </c>
      <c r="E25" s="24" t="str">
        <f>YEAR(Таблица13[[#This Row],[Дата]])&amp;TEXT(MONTH(Таблица13[[#This Row],[Дата]]),"-00")</f>
        <v>2023-10</v>
      </c>
    </row>
    <row r="26" spans="2:9" x14ac:dyDescent="0.2">
      <c r="B26" s="23">
        <f t="shared" si="0"/>
        <v>45230</v>
      </c>
      <c r="C26" s="24">
        <v>28800</v>
      </c>
      <c r="D26" s="24">
        <v>37440</v>
      </c>
      <c r="E26" s="24" t="str">
        <f>YEAR(Таблица13[[#This Row],[Дата]])&amp;TEXT(MONTH(Таблица13[[#This Row],[Дата]]),"-00")</f>
        <v>2023-10</v>
      </c>
      <c r="G26" t="s">
        <v>37</v>
      </c>
    </row>
    <row r="27" spans="2:9" x14ac:dyDescent="0.2">
      <c r="B27" s="23">
        <f t="shared" si="0"/>
        <v>45235</v>
      </c>
      <c r="C27" s="26">
        <v>11222</v>
      </c>
      <c r="D27" s="24">
        <v>11111</v>
      </c>
      <c r="E27" s="24" t="str">
        <f>YEAR(Таблица13[[#This Row],[Дата]])&amp;TEXT(MONTH(Таблица13[[#This Row],[Дата]]),"-00")</f>
        <v>2023-11</v>
      </c>
    </row>
    <row r="28" spans="2:9" x14ac:dyDescent="0.2">
      <c r="B28" s="23">
        <f t="shared" si="0"/>
        <v>45240</v>
      </c>
      <c r="C28" s="24">
        <v>24000</v>
      </c>
      <c r="D28" s="24">
        <v>26400</v>
      </c>
      <c r="E28" s="24" t="str">
        <f>YEAR(Таблица13[[#This Row],[Дата]])&amp;TEXT(MONTH(Таблица13[[#This Row],[Дата]]),"-00")</f>
        <v>2023-11</v>
      </c>
    </row>
    <row r="29" spans="2:9" x14ac:dyDescent="0.2">
      <c r="B29" s="23">
        <f t="shared" si="0"/>
        <v>45245</v>
      </c>
      <c r="C29" s="24">
        <v>24000</v>
      </c>
      <c r="D29" s="24">
        <v>31200</v>
      </c>
      <c r="E29" s="24" t="str">
        <f>YEAR(Таблица13[[#This Row],[Дата]])&amp;TEXT(MONTH(Таблица13[[#This Row],[Дата]]),"-00")</f>
        <v>2023-11</v>
      </c>
    </row>
    <row r="30" spans="2:9" x14ac:dyDescent="0.2">
      <c r="B30" s="23">
        <f t="shared" si="0"/>
        <v>45250</v>
      </c>
      <c r="C30" s="24">
        <v>24000</v>
      </c>
      <c r="D30" s="24">
        <v>21600</v>
      </c>
      <c r="E30" s="24" t="str">
        <f>YEAR(Таблица13[[#This Row],[Дата]])&amp;TEXT(MONTH(Таблица13[[#This Row],[Дата]]),"-00")</f>
        <v>2023-11</v>
      </c>
    </row>
    <row r="31" spans="2:9" x14ac:dyDescent="0.2">
      <c r="B31" s="23">
        <f t="shared" si="0"/>
        <v>45255</v>
      </c>
      <c r="C31" s="24">
        <v>24000</v>
      </c>
      <c r="D31" s="24">
        <v>24000</v>
      </c>
      <c r="E31" s="24" t="str">
        <f>YEAR(Таблица13[[#This Row],[Дата]])&amp;TEXT(MONTH(Таблица13[[#This Row],[Дата]]),"-00")</f>
        <v>2023-11</v>
      </c>
    </row>
    <row r="32" spans="2:9" x14ac:dyDescent="0.2">
      <c r="B32" s="23">
        <f t="shared" si="0"/>
        <v>45260</v>
      </c>
      <c r="C32" s="24">
        <v>24000</v>
      </c>
      <c r="D32" s="24">
        <v>24000</v>
      </c>
      <c r="E32" s="24" t="str">
        <f>YEAR(Таблица13[[#This Row],[Дата]])&amp;TEXT(MONTH(Таблица13[[#This Row],[Дата]]),"-00")</f>
        <v>2023-11</v>
      </c>
    </row>
    <row r="33" spans="2:5" x14ac:dyDescent="0.2">
      <c r="B33" s="23">
        <f t="shared" si="0"/>
        <v>45265</v>
      </c>
      <c r="C33" s="24">
        <v>24000</v>
      </c>
      <c r="D33" s="24">
        <v>28800</v>
      </c>
      <c r="E33" s="24" t="str">
        <f>YEAR(Таблица13[[#This Row],[Дата]])&amp;TEXT(MONTH(Таблица13[[#This Row],[Дата]]),"-00")</f>
        <v>2023-12</v>
      </c>
    </row>
    <row r="34" spans="2:5" x14ac:dyDescent="0.2">
      <c r="B34" s="23">
        <f t="shared" si="0"/>
        <v>45270</v>
      </c>
      <c r="C34" s="24">
        <v>24000</v>
      </c>
      <c r="D34" s="24">
        <v>14400</v>
      </c>
      <c r="E34" s="24" t="str">
        <f>YEAR(Таблица13[[#This Row],[Дата]])&amp;TEXT(MONTH(Таблица13[[#This Row],[Дата]]),"-00")</f>
        <v>2023-12</v>
      </c>
    </row>
    <row r="35" spans="2:5" x14ac:dyDescent="0.2">
      <c r="B35" s="23">
        <f t="shared" si="0"/>
        <v>45275</v>
      </c>
      <c r="C35" s="24">
        <v>28800</v>
      </c>
      <c r="D35" s="24">
        <v>23040</v>
      </c>
      <c r="E35" s="24" t="str">
        <f>YEAR(Таблица13[[#This Row],[Дата]])&amp;TEXT(MONTH(Таблица13[[#This Row],[Дата]]),"-00")</f>
        <v>2023-12</v>
      </c>
    </row>
    <row r="36" spans="2:5" x14ac:dyDescent="0.2">
      <c r="B36" s="23">
        <f t="shared" si="0"/>
        <v>45280</v>
      </c>
      <c r="C36" s="24">
        <v>28800</v>
      </c>
      <c r="D36" s="24">
        <v>20160</v>
      </c>
      <c r="E36" s="24" t="str">
        <f>YEAR(Таблица13[[#This Row],[Дата]])&amp;TEXT(MONTH(Таблица13[[#This Row],[Дата]]),"-00")</f>
        <v>2023-12</v>
      </c>
    </row>
    <row r="37" spans="2:5" x14ac:dyDescent="0.2">
      <c r="B37" s="23">
        <f t="shared" si="0"/>
        <v>45285</v>
      </c>
      <c r="C37" s="24">
        <v>28800</v>
      </c>
      <c r="D37" s="24">
        <v>25920</v>
      </c>
      <c r="E37" s="24" t="str">
        <f>YEAR(Таблица13[[#This Row],[Дата]])&amp;TEXT(MONTH(Таблица13[[#This Row],[Дата]]),"-00")</f>
        <v>2023-12</v>
      </c>
    </row>
    <row r="38" spans="2:5" x14ac:dyDescent="0.2">
      <c r="B38" s="23">
        <f t="shared" si="0"/>
        <v>45290</v>
      </c>
      <c r="C38" s="24">
        <v>28800</v>
      </c>
      <c r="D38" s="24">
        <v>28800</v>
      </c>
      <c r="E38" s="24" t="str">
        <f>YEAR(Таблица13[[#This Row],[Дата]])&amp;TEXT(MONTH(Таблица13[[#This Row],[Дата]]),"-00")</f>
        <v>2023-12</v>
      </c>
    </row>
    <row r="39" spans="2:5" x14ac:dyDescent="0.2">
      <c r="B39" s="23">
        <f t="shared" si="0"/>
        <v>45295</v>
      </c>
      <c r="C39" s="24">
        <v>28800</v>
      </c>
      <c r="D39" s="24">
        <v>34560</v>
      </c>
      <c r="E39" s="24" t="str">
        <f>YEAR(Таблица13[[#This Row],[Дата]])&amp;TEXT(MONTH(Таблица13[[#This Row],[Дата]]),"-00")</f>
        <v>2024-01</v>
      </c>
    </row>
    <row r="40" spans="2:5" x14ac:dyDescent="0.2">
      <c r="B40" s="23">
        <f t="shared" si="0"/>
        <v>45300</v>
      </c>
      <c r="C40" s="24">
        <v>28800</v>
      </c>
      <c r="D40" s="24">
        <v>14400</v>
      </c>
      <c r="E40" s="24" t="str">
        <f>YEAR(Таблица13[[#This Row],[Дата]])&amp;TEXT(MONTH(Таблица13[[#This Row],[Дата]]),"-00")</f>
        <v>2024-01</v>
      </c>
    </row>
    <row r="41" spans="2:5" x14ac:dyDescent="0.2">
      <c r="B41" s="23">
        <f t="shared" si="0"/>
        <v>45305</v>
      </c>
      <c r="C41" s="24">
        <v>22000</v>
      </c>
      <c r="D41" s="24">
        <v>6600</v>
      </c>
      <c r="E41" s="24" t="str">
        <f>YEAR(Таблица13[[#This Row],[Дата]])&amp;TEXT(MONTH(Таблица13[[#This Row],[Дата]]),"-00")</f>
        <v>2024-01</v>
      </c>
    </row>
    <row r="42" spans="2:5" x14ac:dyDescent="0.2">
      <c r="B42" s="23">
        <f t="shared" si="0"/>
        <v>45310</v>
      </c>
      <c r="C42" s="24">
        <v>22000</v>
      </c>
      <c r="D42" s="24">
        <v>15400</v>
      </c>
      <c r="E42" s="24" t="str">
        <f>YEAR(Таблица13[[#This Row],[Дата]])&amp;TEXT(MONTH(Таблица13[[#This Row],[Дата]]),"-00")</f>
        <v>2024-01</v>
      </c>
    </row>
    <row r="43" spans="2:5" x14ac:dyDescent="0.2">
      <c r="B43" s="23">
        <f t="shared" si="0"/>
        <v>45315</v>
      </c>
      <c r="C43" s="24">
        <v>22000</v>
      </c>
      <c r="D43" s="24">
        <v>17600</v>
      </c>
      <c r="E43" s="24" t="str">
        <f>YEAR(Таблица13[[#This Row],[Дата]])&amp;TEXT(MONTH(Таблица13[[#This Row],[Дата]]),"-00")</f>
        <v>2024-01</v>
      </c>
    </row>
    <row r="44" spans="2:5" x14ac:dyDescent="0.2">
      <c r="B44" s="23">
        <f t="shared" si="0"/>
        <v>45320</v>
      </c>
      <c r="C44" s="24">
        <v>22000</v>
      </c>
      <c r="D44" s="24">
        <v>22000</v>
      </c>
      <c r="E44" s="24" t="str">
        <f>YEAR(Таблица13[[#This Row],[Дата]])&amp;TEXT(MONTH(Таблица13[[#This Row],[Дата]]),"-00")</f>
        <v>2024-01</v>
      </c>
    </row>
    <row r="45" spans="2:5" x14ac:dyDescent="0.2">
      <c r="B45" s="23">
        <f t="shared" si="0"/>
        <v>45325</v>
      </c>
      <c r="C45" s="24">
        <v>22000</v>
      </c>
      <c r="D45" s="24">
        <v>11000</v>
      </c>
      <c r="E45" s="24" t="str">
        <f>YEAR(Таблица13[[#This Row],[Дата]])&amp;TEXT(MONTH(Таблица13[[#This Row],[Дата]]),"-00")</f>
        <v>2024-02</v>
      </c>
    </row>
    <row r="46" spans="2:5" x14ac:dyDescent="0.2">
      <c r="B46" s="23">
        <f t="shared" si="0"/>
        <v>45330</v>
      </c>
      <c r="C46" s="24">
        <v>22000</v>
      </c>
      <c r="D46" s="24">
        <v>15400</v>
      </c>
      <c r="E46" s="24" t="str">
        <f>YEAR(Таблица13[[#This Row],[Дата]])&amp;TEXT(MONTH(Таблица13[[#This Row],[Дата]]),"-00")</f>
        <v>2024-02</v>
      </c>
    </row>
    <row r="47" spans="2:5" x14ac:dyDescent="0.2">
      <c r="B47" s="23">
        <f t="shared" si="0"/>
        <v>45335</v>
      </c>
      <c r="C47" s="24">
        <v>22000</v>
      </c>
      <c r="D47" s="24">
        <v>4400</v>
      </c>
      <c r="E47" s="24" t="str">
        <f>YEAR(Таблица13[[#This Row],[Дата]])&amp;TEXT(MONTH(Таблица13[[#This Row],[Дата]]),"-00")</f>
        <v>2024-02</v>
      </c>
    </row>
    <row r="48" spans="2:5" x14ac:dyDescent="0.2">
      <c r="B48" s="23">
        <f t="shared" si="0"/>
        <v>45340</v>
      </c>
      <c r="C48" s="24">
        <v>22000</v>
      </c>
      <c r="D48" s="24">
        <v>15400</v>
      </c>
      <c r="E48" s="24" t="str">
        <f>YEAR(Таблица13[[#This Row],[Дата]])&amp;TEXT(MONTH(Таблица13[[#This Row],[Дата]]),"-00")</f>
        <v>2024-02</v>
      </c>
    </row>
    <row r="49" spans="2:5" x14ac:dyDescent="0.2">
      <c r="B49" s="23">
        <f t="shared" si="0"/>
        <v>45345</v>
      </c>
      <c r="C49" s="24">
        <v>22000</v>
      </c>
      <c r="D49" s="24">
        <v>13200</v>
      </c>
      <c r="E49" s="24" t="str">
        <f>YEAR(Таблица13[[#This Row],[Дата]])&amp;TEXT(MONTH(Таблица13[[#This Row],[Дата]]),"-00")</f>
        <v>2024-02</v>
      </c>
    </row>
    <row r="50" spans="2:5" x14ac:dyDescent="0.2">
      <c r="B50" s="23">
        <f t="shared" si="0"/>
        <v>45350</v>
      </c>
      <c r="C50" s="24">
        <v>22000</v>
      </c>
      <c r="D50" s="24">
        <v>13200</v>
      </c>
      <c r="E50" s="24" t="str">
        <f>YEAR(Таблица13[[#This Row],[Дата]])&amp;TEXT(MONTH(Таблица13[[#This Row],[Дата]]),"-00")</f>
        <v>2024-02</v>
      </c>
    </row>
    <row r="51" spans="2:5" x14ac:dyDescent="0.2">
      <c r="B51" s="23">
        <f t="shared" si="0"/>
        <v>45355</v>
      </c>
      <c r="C51" s="24">
        <v>22000</v>
      </c>
      <c r="D51" s="24">
        <v>17600</v>
      </c>
      <c r="E51" s="24" t="str">
        <f>YEAR(Таблица13[[#This Row],[Дата]])&amp;TEXT(MONTH(Таблица13[[#This Row],[Дата]]),"-00")</f>
        <v>2024-03</v>
      </c>
    </row>
    <row r="52" spans="2:5" x14ac:dyDescent="0.2">
      <c r="B52" s="23">
        <f t="shared" si="0"/>
        <v>45360</v>
      </c>
      <c r="C52" s="24">
        <v>22000</v>
      </c>
      <c r="D52" s="24">
        <v>17600</v>
      </c>
      <c r="E52" s="24" t="str">
        <f>YEAR(Таблица13[[#This Row],[Дата]])&amp;TEXT(MONTH(Таблица13[[#This Row],[Дата]]),"-00")</f>
        <v>2024-03</v>
      </c>
    </row>
    <row r="53" spans="2:5" x14ac:dyDescent="0.2">
      <c r="B53" s="23">
        <f t="shared" si="0"/>
        <v>45365</v>
      </c>
      <c r="C53" s="24">
        <v>22000</v>
      </c>
      <c r="D53" s="24">
        <v>13200</v>
      </c>
      <c r="E53" s="24" t="str">
        <f>YEAR(Таблица13[[#This Row],[Дата]])&amp;TEXT(MONTH(Таблица13[[#This Row],[Дата]]),"-00")</f>
        <v>2024-03</v>
      </c>
    </row>
    <row r="54" spans="2:5" x14ac:dyDescent="0.2">
      <c r="B54" s="23">
        <f t="shared" si="0"/>
        <v>45370</v>
      </c>
      <c r="C54" s="24">
        <v>22000</v>
      </c>
      <c r="D54" s="24">
        <v>22000</v>
      </c>
      <c r="E54" s="24" t="str">
        <f>YEAR(Таблица13[[#This Row],[Дата]])&amp;TEXT(MONTH(Таблица13[[#This Row],[Дата]]),"-00")</f>
        <v>2024-03</v>
      </c>
    </row>
    <row r="55" spans="2:5" x14ac:dyDescent="0.2">
      <c r="B55" s="23">
        <f t="shared" si="0"/>
        <v>45375</v>
      </c>
      <c r="C55" s="24">
        <v>22000</v>
      </c>
      <c r="D55" s="24">
        <v>6600</v>
      </c>
      <c r="E55" s="24" t="str">
        <f>YEAR(Таблица13[[#This Row],[Дата]])&amp;TEXT(MONTH(Таблица13[[#This Row],[Дата]]),"-00")</f>
        <v>2024-03</v>
      </c>
    </row>
    <row r="56" spans="2:5" x14ac:dyDescent="0.2">
      <c r="B56" s="23">
        <f t="shared" si="0"/>
        <v>45380</v>
      </c>
      <c r="C56" s="24">
        <v>22000</v>
      </c>
      <c r="D56" s="24">
        <v>4400</v>
      </c>
      <c r="E56" s="24" t="str">
        <f>YEAR(Таблица13[[#This Row],[Дата]])&amp;TEXT(MONTH(Таблица13[[#This Row],[Дата]]),"-00")</f>
        <v>2024-03</v>
      </c>
    </row>
    <row r="57" spans="2:5" x14ac:dyDescent="0.2">
      <c r="B57" s="23">
        <f t="shared" si="0"/>
        <v>45385</v>
      </c>
      <c r="C57" s="24">
        <v>22000</v>
      </c>
      <c r="D57" s="24">
        <v>15400</v>
      </c>
      <c r="E57" s="24" t="str">
        <f>YEAR(Таблица13[[#This Row],[Дата]])&amp;TEXT(MONTH(Таблица13[[#This Row],[Дата]]),"-00")</f>
        <v>2024-04</v>
      </c>
    </row>
    <row r="58" spans="2:5" x14ac:dyDescent="0.2">
      <c r="B58" s="23">
        <f t="shared" si="0"/>
        <v>45390</v>
      </c>
      <c r="C58" s="24">
        <v>22000</v>
      </c>
      <c r="D58" s="24">
        <v>19800</v>
      </c>
      <c r="E58" s="24" t="str">
        <f>YEAR(Таблица13[[#This Row],[Дата]])&amp;TEXT(MONTH(Таблица13[[#This Row],[Дата]]),"-00")</f>
        <v>2024-04</v>
      </c>
    </row>
    <row r="59" spans="2:5" x14ac:dyDescent="0.2">
      <c r="B59" s="23">
        <f t="shared" si="0"/>
        <v>45395</v>
      </c>
      <c r="C59" s="24">
        <v>22000</v>
      </c>
      <c r="D59" s="24">
        <v>8800</v>
      </c>
      <c r="E59" s="24" t="str">
        <f>YEAR(Таблица13[[#This Row],[Дата]])&amp;TEXT(MONTH(Таблица13[[#This Row],[Дата]]),"-00")</f>
        <v>2024-04</v>
      </c>
    </row>
    <row r="60" spans="2:5" x14ac:dyDescent="0.2">
      <c r="B60" s="23">
        <f t="shared" si="0"/>
        <v>45400</v>
      </c>
      <c r="C60" s="24">
        <v>22000</v>
      </c>
      <c r="D60" s="24">
        <v>17600</v>
      </c>
      <c r="E60" s="24" t="str">
        <f>YEAR(Таблица13[[#This Row],[Дата]])&amp;TEXT(MONTH(Таблица13[[#This Row],[Дата]]),"-00")</f>
        <v>2024-04</v>
      </c>
    </row>
    <row r="61" spans="2:5" x14ac:dyDescent="0.2">
      <c r="B61" s="23">
        <f t="shared" si="0"/>
        <v>45405</v>
      </c>
      <c r="C61" s="24">
        <v>22000</v>
      </c>
      <c r="D61" s="24">
        <v>24200</v>
      </c>
      <c r="E61" s="24" t="str">
        <f>YEAR(Таблица13[[#This Row],[Дата]])&amp;TEXT(MONTH(Таблица13[[#This Row],[Дата]]),"-00")</f>
        <v>2024-04</v>
      </c>
    </row>
    <row r="62" spans="2:5" x14ac:dyDescent="0.2">
      <c r="B62" s="23">
        <f t="shared" si="0"/>
        <v>45410</v>
      </c>
      <c r="C62" s="24">
        <v>22000</v>
      </c>
      <c r="D62" s="24">
        <v>11000</v>
      </c>
      <c r="E62" s="24" t="str">
        <f>YEAR(Таблица13[[#This Row],[Дата]])&amp;TEXT(MONTH(Таблица13[[#This Row],[Дата]]),"-00")</f>
        <v>2024-04</v>
      </c>
    </row>
    <row r="63" spans="2:5" x14ac:dyDescent="0.2">
      <c r="B63" s="23">
        <f t="shared" si="0"/>
        <v>45415</v>
      </c>
      <c r="C63" s="24">
        <v>22000</v>
      </c>
      <c r="D63" s="24">
        <v>28600</v>
      </c>
      <c r="E63" s="24" t="str">
        <f>YEAR(Таблица13[[#This Row],[Дата]])&amp;TEXT(MONTH(Таблица13[[#This Row],[Дата]]),"-00")</f>
        <v>2024-05</v>
      </c>
    </row>
    <row r="64" spans="2:5" x14ac:dyDescent="0.2">
      <c r="B64" s="23">
        <f t="shared" si="0"/>
        <v>45420</v>
      </c>
      <c r="C64" s="24">
        <v>22000</v>
      </c>
      <c r="D64" s="24">
        <v>22000</v>
      </c>
      <c r="E64" s="24" t="str">
        <f>YEAR(Таблица13[[#This Row],[Дата]])&amp;TEXT(MONTH(Таблица13[[#This Row],[Дата]]),"-00")</f>
        <v>2024-05</v>
      </c>
    </row>
    <row r="65" spans="2:5" x14ac:dyDescent="0.2">
      <c r="B65" s="23">
        <f t="shared" si="0"/>
        <v>45425</v>
      </c>
      <c r="C65" s="24">
        <v>22000</v>
      </c>
      <c r="D65" s="24">
        <v>22000</v>
      </c>
      <c r="E65" s="24" t="str">
        <f>YEAR(Таблица13[[#This Row],[Дата]])&amp;TEXT(MONTH(Таблица13[[#This Row],[Дата]]),"-00")</f>
        <v>2024-05</v>
      </c>
    </row>
    <row r="66" spans="2:5" x14ac:dyDescent="0.2">
      <c r="B66" s="23">
        <f t="shared" si="0"/>
        <v>45430</v>
      </c>
      <c r="C66" s="24">
        <v>22000</v>
      </c>
      <c r="D66" s="24">
        <v>22000</v>
      </c>
      <c r="E66" s="24" t="str">
        <f>YEAR(Таблица13[[#This Row],[Дата]])&amp;TEXT(MONTH(Таблица13[[#This Row],[Дата]]),"-00")</f>
        <v>2024-05</v>
      </c>
    </row>
    <row r="67" spans="2:5" x14ac:dyDescent="0.2">
      <c r="B67" s="4"/>
    </row>
    <row r="68" spans="2:5" x14ac:dyDescent="0.2">
      <c r="B68" s="4"/>
    </row>
    <row r="69" spans="2:5" x14ac:dyDescent="0.2">
      <c r="B69" s="4"/>
    </row>
    <row r="70" spans="2:5" x14ac:dyDescent="0.2">
      <c r="B70" s="4"/>
    </row>
    <row r="71" spans="2:5" x14ac:dyDescent="0.2">
      <c r="B71" s="4"/>
    </row>
    <row r="72" spans="2:5" x14ac:dyDescent="0.2">
      <c r="B72" s="4"/>
    </row>
    <row r="73" spans="2:5" x14ac:dyDescent="0.2">
      <c r="B73" s="4"/>
    </row>
    <row r="74" spans="2:5" x14ac:dyDescent="0.2">
      <c r="B74" s="4"/>
    </row>
    <row r="75" spans="2:5" x14ac:dyDescent="0.2">
      <c r="B75" s="6"/>
      <c r="C75" s="7"/>
      <c r="D75" s="7"/>
    </row>
    <row r="76" spans="2:5" x14ac:dyDescent="0.2">
      <c r="B76" s="6"/>
      <c r="C76" s="7"/>
    </row>
    <row r="77" spans="2:5" x14ac:dyDescent="0.2">
      <c r="B77" s="6"/>
      <c r="C77" s="7"/>
    </row>
    <row r="78" spans="2:5" x14ac:dyDescent="0.2">
      <c r="B78" s="6"/>
      <c r="C78" s="7"/>
    </row>
    <row r="79" spans="2:5" x14ac:dyDescent="0.2">
      <c r="B79" s="6"/>
      <c r="C79" s="7"/>
    </row>
    <row r="80" spans="2:5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</sheetData>
  <conditionalFormatting sqref="D8">
    <cfRule type="cellIs" dxfId="4" priority="1" operator="lessThan">
      <formula>1</formula>
    </cfRule>
  </conditionalFormatting>
  <hyperlinks>
    <hyperlink ref="A1:E1" r:id="rId2" display="Файл скачан с сайта excel2.ru &gt;&gt;&gt;"/>
    <hyperlink ref="A2" r:id="rId3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  <hyperlink ref="K1" r:id="rId9" display="Файл скачан с сайта excel2.ru &gt;&gt;&gt;"/>
    <hyperlink ref="L1" r:id="rId10" display="Файл скачан с сайта excel2.ru &gt;&gt;&gt;"/>
    <hyperlink ref="M1" r:id="rId11" display="Файл скачан с сайта excel2.ru &gt;&gt;&gt;"/>
    <hyperlink ref="N1" r:id="rId12" display="Файл скачан с сайта excel2.ru &gt;&gt;&gt;"/>
    <hyperlink ref="O1" r:id="rId13" display="Файл скачан с сайта excel2.ru &gt;&gt;&gt;"/>
    <hyperlink ref="P1" r:id="rId14" display="Файл скачан с сайта excel2.ru &gt;&gt;&gt;"/>
    <hyperlink ref="Q1" r:id="rId15" display="Файл скачан с сайта excel2.ru &gt;&gt;&gt;"/>
    <hyperlink ref="R1" r:id="rId16" display="Файл скачан с сайта excel2.ru &gt;&gt;&gt;"/>
    <hyperlink ref="S1" r:id="rId17" display="Файл скачан с сайта excel2.ru &gt;&gt;&gt;"/>
  </hyperlinks>
  <pageMargins left="0.75" right="0.75" top="1" bottom="1" header="0.5" footer="0.5"/>
  <pageSetup paperSize="9" orientation="portrait" horizontalDpi="300" verticalDpi="300" r:id="rId18"/>
  <headerFooter alignWithMargins="0"/>
  <drawing r:id="rId19"/>
  <tableParts count="1"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83"/>
  <sheetViews>
    <sheetView tabSelected="1" zoomScaleNormal="100" workbookViewId="0">
      <selection activeCell="A2" sqref="A2"/>
    </sheetView>
  </sheetViews>
  <sheetFormatPr defaultRowHeight="12.75" x14ac:dyDescent="0.2"/>
  <cols>
    <col min="1" max="1" width="7" customWidth="1"/>
    <col min="2" max="2" width="10.7109375" bestFit="1" customWidth="1"/>
    <col min="3" max="3" width="10.140625" bestFit="1" customWidth="1"/>
    <col min="5" max="5" width="4.5703125" customWidth="1"/>
    <col min="6" max="6" width="7.7109375" customWidth="1"/>
    <col min="7" max="7" width="11.7109375" customWidth="1"/>
    <col min="10" max="11" width="9.28515625" customWidth="1"/>
    <col min="12" max="12" width="2.7109375" customWidth="1"/>
    <col min="13" max="13" width="11.7109375" customWidth="1"/>
    <col min="19" max="19" width="10.140625" bestFit="1" customWidth="1"/>
    <col min="20" max="20" width="11.7109375" customWidth="1"/>
    <col min="21" max="21" width="21" bestFit="1" customWidth="1"/>
    <col min="22" max="22" width="21" customWidth="1"/>
    <col min="229" max="229" width="10" customWidth="1"/>
    <col min="247" max="247" width="10" customWidth="1"/>
    <col min="310" max="310" width="8.5703125" customWidth="1"/>
    <col min="328" max="328" width="8.5703125" customWidth="1"/>
  </cols>
  <sheetData>
    <row r="1" spans="1:22" ht="26.25" x14ac:dyDescent="0.2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2" ht="15.75" x14ac:dyDescent="0.25">
      <c r="A2" s="42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18.75" x14ac:dyDescent="0.2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14.25" x14ac:dyDescent="0.2">
      <c r="A4" s="16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2" ht="25.5" x14ac:dyDescent="0.2">
      <c r="B6" s="18" t="s">
        <v>18</v>
      </c>
      <c r="C6" t="s">
        <v>17</v>
      </c>
      <c r="H6" s="32" t="s">
        <v>3</v>
      </c>
      <c r="I6" s="1" t="s">
        <v>23</v>
      </c>
    </row>
    <row r="7" spans="1:22" x14ac:dyDescent="0.2">
      <c r="G7" s="1" t="s">
        <v>24</v>
      </c>
      <c r="H7" s="5">
        <f>MONTH(MIN(Таблица1[Дата]))</f>
        <v>9</v>
      </c>
      <c r="I7" s="5">
        <f>YEAR(MIN(Таблица1[Дата]))</f>
        <v>2013</v>
      </c>
    </row>
    <row r="8" spans="1:22" ht="38.25" x14ac:dyDescent="0.2">
      <c r="B8" s="29" t="s">
        <v>8</v>
      </c>
      <c r="C8" s="30"/>
      <c r="D8" s="27">
        <f>IFERROR(D9/C9,0)</f>
        <v>0.79786009414763504</v>
      </c>
      <c r="G8" s="1" t="s">
        <v>25</v>
      </c>
      <c r="H8" s="5">
        <f>MONTH(MAX(Таблица1[Дата]))</f>
        <v>1</v>
      </c>
      <c r="I8" s="5">
        <f>YEAR(MAX(Таблица1[Дата]))</f>
        <v>2015</v>
      </c>
    </row>
    <row r="9" spans="1:22" x14ac:dyDescent="0.2">
      <c r="B9" s="1" t="s">
        <v>5</v>
      </c>
      <c r="C9" s="22">
        <f>SUM(Таблица1[План])</f>
        <v>1264822</v>
      </c>
      <c r="D9" s="22">
        <f>SUM(Таблица1[Факт])</f>
        <v>1009151</v>
      </c>
      <c r="G9" s="1" t="s">
        <v>22</v>
      </c>
      <c r="H9" s="5"/>
      <c r="I9" s="5">
        <f>IF(I8&gt;I7,(12-H7+1)+H8+(I8-I7-1)*12,H8-H7+1)</f>
        <v>17</v>
      </c>
    </row>
    <row r="11" spans="1:22" x14ac:dyDescent="0.2">
      <c r="B11" s="2" t="s">
        <v>6</v>
      </c>
      <c r="F11" t="s">
        <v>21</v>
      </c>
      <c r="M11" t="str">
        <f>C6&amp;"; Выполнено на текущую дату: "&amp;TEXT('Ввод данных'!D8,"00%")</f>
        <v>Строительство подстанции; Выполнено на текущую дату: 80%</v>
      </c>
    </row>
    <row r="12" spans="1:22" x14ac:dyDescent="0.2">
      <c r="J12" s="2" t="s">
        <v>20</v>
      </c>
    </row>
    <row r="13" spans="1:22" x14ac:dyDescent="0.2">
      <c r="B13" s="2" t="s">
        <v>0</v>
      </c>
      <c r="C13" s="2" t="s">
        <v>1</v>
      </c>
      <c r="D13" s="2" t="s">
        <v>2</v>
      </c>
      <c r="E13" s="10"/>
      <c r="F13" s="1" t="s">
        <v>19</v>
      </c>
      <c r="G13" s="1" t="s">
        <v>3</v>
      </c>
      <c r="H13" s="31" t="s">
        <v>1</v>
      </c>
      <c r="I13" s="31" t="s">
        <v>2</v>
      </c>
      <c r="J13" s="31" t="s">
        <v>1</v>
      </c>
      <c r="K13" s="31" t="s">
        <v>2</v>
      </c>
    </row>
    <row r="14" spans="1:22" x14ac:dyDescent="0.2">
      <c r="B14" s="23">
        <v>41519</v>
      </c>
      <c r="C14" s="24">
        <v>24000</v>
      </c>
      <c r="D14" s="24">
        <v>24000</v>
      </c>
      <c r="F14" s="5">
        <v>1</v>
      </c>
      <c r="G14" s="19">
        <f>DATE($I$7,$H$7,1)</f>
        <v>41518</v>
      </c>
      <c r="H14" s="21">
        <f>SUMIFS(Таблица1[План],Таблица1[Дата],"&gt;="&amp;$G14,Таблица1[Дата],"&lt;"&amp;IF(ISNUMBER($G15),$G15,MAX(Таблица1[Дата])+1))</f>
        <v>24000</v>
      </c>
      <c r="I14" s="21">
        <f>SUMIFS(Таблица1[Факт],Таблица1[Дата],"&gt;="&amp;$G14,Таблица1[Дата],"&lt;"&amp;IF(ISNUMBER($G15),$G15,MAX(Таблица1[Дата])+1))</f>
        <v>24000</v>
      </c>
      <c r="J14" s="21">
        <f>SUM(H$14:H14)</f>
        <v>24000</v>
      </c>
      <c r="K14" s="21">
        <f>SUM(I$14:I14)</f>
        <v>24000</v>
      </c>
      <c r="T14" s="40"/>
      <c r="U14" s="39"/>
      <c r="V14" s="39"/>
    </row>
    <row r="15" spans="1:22" x14ac:dyDescent="0.2">
      <c r="B15" s="23">
        <v>41550</v>
      </c>
      <c r="C15" s="24">
        <v>24000</v>
      </c>
      <c r="D15" s="24">
        <v>21600</v>
      </c>
      <c r="F15" s="5">
        <v>2</v>
      </c>
      <c r="G15" s="19">
        <f>EOMONTH($G$14,F14-1)+1</f>
        <v>41548</v>
      </c>
      <c r="H15" s="21">
        <f>SUMIFS(Таблица1[План],Таблица1[Дата],"&gt;="&amp;$G15,Таблица1[Дата],"&lt;"&amp;IF(ISNUMBER($G16),$G16,MAX(Таблица1[Дата])+1))</f>
        <v>288000</v>
      </c>
      <c r="I15" s="21">
        <f>SUMIFS(Таблица1[Факт],Таблица1[Дата],"&gt;="&amp;$G15,Таблица1[Дата],"&lt;"&amp;IF(ISNUMBER($G16),$G16,MAX(Таблица1[Дата])+1))</f>
        <v>256320</v>
      </c>
      <c r="J15" s="21">
        <f>SUM(H$14:H15)</f>
        <v>312000</v>
      </c>
      <c r="K15" s="21">
        <f>SUM(I$14:I15)</f>
        <v>280320</v>
      </c>
      <c r="T15" s="41"/>
      <c r="U15" s="39"/>
      <c r="V15" s="39"/>
    </row>
    <row r="16" spans="1:22" x14ac:dyDescent="0.2">
      <c r="B16" s="23">
        <v>41551</v>
      </c>
      <c r="C16" s="24">
        <v>24000</v>
      </c>
      <c r="D16" s="24">
        <v>31200</v>
      </c>
      <c r="F16" s="5">
        <v>3</v>
      </c>
      <c r="G16" s="19">
        <f>EOMONTH($G$14,F15-1)+1</f>
        <v>41579</v>
      </c>
      <c r="H16" s="21">
        <f>SUMIFS(Таблица1[План],Таблица1[Дата],"&gt;="&amp;$G16,Таблица1[Дата],"&lt;"&amp;IF(ISNUMBER($G17),$G17,MAX(Таблица1[Дата])+1))</f>
        <v>380822</v>
      </c>
      <c r="I16" s="21">
        <f>SUMIFS(Таблица1[Факт],Таблица1[Дата],"&gt;="&amp;$G16,Таблица1[Дата],"&lt;"&amp;IF(ISNUMBER($G17),$G17,MAX(Таблица1[Дата])+1))</f>
        <v>365831</v>
      </c>
      <c r="J16" s="21">
        <f>SUM(H$14:H16)</f>
        <v>692822</v>
      </c>
      <c r="K16" s="21">
        <f>SUM(I$14:I16)</f>
        <v>646151</v>
      </c>
      <c r="T16" s="41"/>
      <c r="U16" s="39"/>
      <c r="V16" s="39"/>
    </row>
    <row r="17" spans="2:22" x14ac:dyDescent="0.2">
      <c r="B17" s="23">
        <v>41552</v>
      </c>
      <c r="C17" s="24">
        <v>24000</v>
      </c>
      <c r="D17" s="24">
        <v>24000</v>
      </c>
      <c r="F17" s="5">
        <v>4</v>
      </c>
      <c r="G17" s="19">
        <f>EOMONTH($G$14,F16-1)+1</f>
        <v>41609</v>
      </c>
      <c r="H17" s="21">
        <f>SUMIFS(Таблица1[План],Таблица1[Дата],"&gt;="&amp;$G17,Таблица1[Дата],"&lt;"&amp;IF(ISNUMBER($G18),$G18,MAX(Таблица1[Дата])+1))</f>
        <v>0</v>
      </c>
      <c r="I17" s="21">
        <f>SUMIFS(Таблица1[Факт],Таблица1[Дата],"&gt;="&amp;$G17,Таблица1[Дата],"&lt;"&amp;IF(ISNUMBER($G18),$G18,MAX(Таблица1[Дата])+1))</f>
        <v>0</v>
      </c>
      <c r="J17" s="21">
        <f>SUM(H$14:H17)</f>
        <v>692822</v>
      </c>
      <c r="K17" s="21">
        <f>SUM(I$14:I17)</f>
        <v>646151</v>
      </c>
      <c r="T17" s="41"/>
      <c r="U17" s="39"/>
      <c r="V17" s="39"/>
    </row>
    <row r="18" spans="2:22" x14ac:dyDescent="0.2">
      <c r="B18" s="23">
        <v>41553</v>
      </c>
      <c r="C18" s="24">
        <v>24000</v>
      </c>
      <c r="D18" s="24">
        <v>31200</v>
      </c>
      <c r="F18" s="5">
        <v>5</v>
      </c>
      <c r="G18" s="19">
        <f>EOMONTH($G$14,F17-1)+1</f>
        <v>41640</v>
      </c>
      <c r="H18" s="21">
        <f>SUMIFS(Таблица1[План],Таблица1[Дата],"&gt;="&amp;$G18,Таблица1[Дата],"&lt;"&amp;IF(ISNUMBER($G19),$G19,MAX(Таблица1[Дата])+1))</f>
        <v>154000</v>
      </c>
      <c r="I18" s="21">
        <f>SUMIFS(Таблица1[Факт],Таблица1[Дата],"&gt;="&amp;$G18,Таблица1[Дата],"&lt;"&amp;IF(ISNUMBER($G19),$G19,MAX(Таблица1[Дата])+1))</f>
        <v>92400</v>
      </c>
      <c r="J18" s="21">
        <f>SUM(H$14:H18)</f>
        <v>846822</v>
      </c>
      <c r="K18" s="21">
        <f>SUM(I$14:I18)</f>
        <v>738551</v>
      </c>
      <c r="T18" s="40"/>
      <c r="U18" s="39"/>
      <c r="V18" s="39"/>
    </row>
    <row r="19" spans="2:22" x14ac:dyDescent="0.2">
      <c r="B19" s="23">
        <v>41554</v>
      </c>
      <c r="C19" s="24">
        <v>24000</v>
      </c>
      <c r="D19" s="24">
        <v>14400</v>
      </c>
      <c r="F19" s="5">
        <v>6</v>
      </c>
      <c r="G19" s="19">
        <f>EOMONTH($G$14,F18-1)+1</f>
        <v>41671</v>
      </c>
      <c r="H19" s="21">
        <f>SUMIFS(Таблица1[План],Таблица1[Дата],"&gt;="&amp;$G19,Таблица1[Дата],"&lt;"&amp;IF(ISNUMBER($G20),$G20,MAX(Таблица1[Дата])+1))</f>
        <v>132000</v>
      </c>
      <c r="I19" s="21">
        <f>SUMIFS(Таблица1[Факт],Таблица1[Дата],"&gt;="&amp;$G19,Таблица1[Дата],"&lt;"&amp;IF(ISNUMBER($G20),$G20,MAX(Таблица1[Дата])+1))</f>
        <v>90200</v>
      </c>
      <c r="J19" s="21">
        <f>SUM(H$14:H19)</f>
        <v>978822</v>
      </c>
      <c r="K19" s="21">
        <f>SUM(I$14:I19)</f>
        <v>828751</v>
      </c>
      <c r="T19" s="41"/>
      <c r="U19" s="39"/>
      <c r="V19" s="39"/>
    </row>
    <row r="20" spans="2:22" x14ac:dyDescent="0.2">
      <c r="B20" s="23">
        <v>41555</v>
      </c>
      <c r="C20" s="24">
        <v>24000</v>
      </c>
      <c r="D20" s="24">
        <v>21600</v>
      </c>
      <c r="F20" s="5">
        <v>7</v>
      </c>
      <c r="G20" s="19">
        <f>EOMONTH($G$14,F19-1)+1</f>
        <v>41699</v>
      </c>
      <c r="H20" s="21">
        <f>SUMIFS(Таблица1[План],Таблица1[Дата],"&gt;="&amp;$G20,Таблица1[Дата],"&lt;"&amp;IF(ISNUMBER($G21),$G21,MAX(Таблица1[Дата])+1))</f>
        <v>0</v>
      </c>
      <c r="I20" s="21">
        <f>SUMIFS(Таблица1[Факт],Таблица1[Дата],"&gt;="&amp;$G20,Таблица1[Дата],"&lt;"&amp;IF(ISNUMBER($G21),$G21,MAX(Таблица1[Дата])+1))</f>
        <v>0</v>
      </c>
      <c r="J20" s="21">
        <f>SUM(H$14:H20)</f>
        <v>978822</v>
      </c>
      <c r="K20" s="21">
        <f>SUM(I$14:I20)</f>
        <v>828751</v>
      </c>
      <c r="T20" s="41"/>
      <c r="U20" s="39"/>
      <c r="V20" s="39"/>
    </row>
    <row r="21" spans="2:22" x14ac:dyDescent="0.2">
      <c r="B21" s="23">
        <v>41556</v>
      </c>
      <c r="C21" s="24">
        <v>28800</v>
      </c>
      <c r="D21" s="24">
        <v>20160</v>
      </c>
      <c r="F21" s="5">
        <v>8</v>
      </c>
      <c r="G21" s="19">
        <f>EOMONTH($G$14,F20-1)+1</f>
        <v>41730</v>
      </c>
      <c r="H21" s="21">
        <f>SUMIFS(Таблица1[План],Таблица1[Дата],"&gt;="&amp;$G21,Таблица1[Дата],"&lt;"&amp;IF(ISNUMBER($G22),$G22,MAX(Таблица1[Дата])+1))</f>
        <v>0</v>
      </c>
      <c r="I21" s="21">
        <f>SUMIFS(Таблица1[Факт],Таблица1[Дата],"&gt;="&amp;$G21,Таблица1[Дата],"&lt;"&amp;IF(ISNUMBER($G22),$G22,MAX(Таблица1[Дата])+1))</f>
        <v>0</v>
      </c>
      <c r="J21" s="21">
        <f>SUM(H$14:H21)</f>
        <v>978822</v>
      </c>
      <c r="K21" s="21">
        <f>SUM(I$14:I21)</f>
        <v>828751</v>
      </c>
      <c r="T21" s="41"/>
      <c r="U21" s="39"/>
      <c r="V21" s="39"/>
    </row>
    <row r="22" spans="2:22" x14ac:dyDescent="0.2">
      <c r="B22" s="23">
        <v>41557</v>
      </c>
      <c r="C22" s="24">
        <v>28800</v>
      </c>
      <c r="D22" s="24">
        <v>31680</v>
      </c>
      <c r="F22" s="5">
        <v>9</v>
      </c>
      <c r="G22" s="19">
        <f>EOMONTH($G$14,F21-1)+1</f>
        <v>41760</v>
      </c>
      <c r="H22" s="21">
        <f>SUMIFS(Таблица1[План],Таблица1[Дата],"&gt;="&amp;$G22,Таблица1[Дата],"&lt;"&amp;IF(ISNUMBER($G23),$G23,MAX(Таблица1[Дата])+1))</f>
        <v>0</v>
      </c>
      <c r="I22" s="21">
        <f>SUMIFS(Таблица1[Факт],Таблица1[Дата],"&gt;="&amp;$G22,Таблица1[Дата],"&lt;"&amp;IF(ISNUMBER($G23),$G23,MAX(Таблица1[Дата])+1))</f>
        <v>0</v>
      </c>
      <c r="J22" s="21">
        <f>SUM(H$14:H22)</f>
        <v>978822</v>
      </c>
      <c r="K22" s="21">
        <f>SUM(I$14:I22)</f>
        <v>828751</v>
      </c>
      <c r="T22" s="40"/>
      <c r="U22" s="39"/>
      <c r="V22" s="39"/>
    </row>
    <row r="23" spans="2:22" x14ac:dyDescent="0.2">
      <c r="B23" s="23">
        <v>41558</v>
      </c>
      <c r="C23" s="24">
        <v>28800</v>
      </c>
      <c r="D23" s="24">
        <v>11520</v>
      </c>
      <c r="F23" s="5">
        <v>10</v>
      </c>
      <c r="G23" s="19">
        <f>EOMONTH($G$14,F22-1)+1</f>
        <v>41791</v>
      </c>
      <c r="H23" s="21">
        <f>SUMIFS(Таблица1[План],Таблица1[Дата],"&gt;="&amp;$G23,Таблица1[Дата],"&lt;"&amp;IF(ISNUMBER($G24),$G24,MAX(Таблица1[Дата])+1))</f>
        <v>0</v>
      </c>
      <c r="I23" s="21">
        <f>SUMIFS(Таблица1[Факт],Таблица1[Дата],"&gt;="&amp;$G23,Таблица1[Дата],"&lt;"&amp;IF(ISNUMBER($G24),$G24,MAX(Таблица1[Дата])+1))</f>
        <v>0</v>
      </c>
      <c r="J23" s="21">
        <f>SUM(H$14:H23)</f>
        <v>978822</v>
      </c>
      <c r="K23" s="21">
        <f>SUM(I$14:I23)</f>
        <v>828751</v>
      </c>
      <c r="T23" s="41"/>
      <c r="U23" s="39"/>
      <c r="V23" s="39"/>
    </row>
    <row r="24" spans="2:22" x14ac:dyDescent="0.2">
      <c r="B24" s="23">
        <v>41559</v>
      </c>
      <c r="C24" s="24">
        <v>28800</v>
      </c>
      <c r="D24" s="24">
        <v>37440</v>
      </c>
      <c r="F24" s="5">
        <v>11</v>
      </c>
      <c r="G24" s="19">
        <f>EOMONTH($G$14,F23-1)+1</f>
        <v>41821</v>
      </c>
      <c r="H24" s="21">
        <f>SUMIFS(Таблица1[План],Таблица1[Дата],"&gt;="&amp;$G24,Таблица1[Дата],"&lt;"&amp;IF(ISNUMBER($G25),$G25,MAX(Таблица1[Дата])+1))</f>
        <v>0</v>
      </c>
      <c r="I24" s="21">
        <f>SUMIFS(Таблица1[Факт],Таблица1[Дата],"&gt;="&amp;$G24,Таблица1[Дата],"&lt;"&amp;IF(ISNUMBER($G25),$G25,MAX(Таблица1[Дата])+1))</f>
        <v>0</v>
      </c>
      <c r="J24" s="21">
        <f>SUM(H$14:H24)</f>
        <v>978822</v>
      </c>
      <c r="K24" s="21">
        <f>SUM(I$14:I24)</f>
        <v>828751</v>
      </c>
      <c r="T24" s="40"/>
      <c r="U24" s="39"/>
      <c r="V24" s="39"/>
    </row>
    <row r="25" spans="2:22" x14ac:dyDescent="0.2">
      <c r="B25" s="23">
        <v>41560</v>
      </c>
      <c r="C25" s="24">
        <v>28800</v>
      </c>
      <c r="D25" s="24">
        <v>11520</v>
      </c>
      <c r="F25" s="5">
        <v>12</v>
      </c>
      <c r="G25" s="19">
        <f>EOMONTH($G$14,F24-1)+1</f>
        <v>41852</v>
      </c>
      <c r="H25" s="21">
        <f>SUMIFS(Таблица1[План],Таблица1[Дата],"&gt;="&amp;$G25,Таблица1[Дата],"&lt;"&amp;IF(ISNUMBER($G26),$G26,MAX(Таблица1[Дата])+1))</f>
        <v>0</v>
      </c>
      <c r="I25" s="21">
        <f>SUMIFS(Таблица1[Факт],Таблица1[Дата],"&gt;="&amp;$G25,Таблица1[Дата],"&lt;"&amp;IF(ISNUMBER($G26),$G26,MAX(Таблица1[Дата])+1))</f>
        <v>0</v>
      </c>
      <c r="J25" s="21">
        <f>SUM(H$14:H25)</f>
        <v>978822</v>
      </c>
      <c r="K25" s="21">
        <f>SUM(I$14:I25)</f>
        <v>828751</v>
      </c>
    </row>
    <row r="26" spans="2:22" x14ac:dyDescent="0.2">
      <c r="B26" s="25">
        <v>41588</v>
      </c>
      <c r="C26" s="24">
        <v>28800</v>
      </c>
      <c r="D26" s="24">
        <v>37440</v>
      </c>
      <c r="F26" s="5">
        <v>13</v>
      </c>
      <c r="G26" s="19">
        <f>EOMONTH($G$14,F25-1)+1</f>
        <v>41883</v>
      </c>
      <c r="H26" s="21">
        <f>SUMIFS(Таблица1[План],Таблица1[Дата],"&gt;="&amp;$G26,Таблица1[Дата],"&lt;"&amp;IF(ISNUMBER($G27),$G27,MAX(Таблица1[Дата])+1))</f>
        <v>0</v>
      </c>
      <c r="I26" s="21">
        <f>SUMIFS(Таблица1[Факт],Таблица1[Дата],"&gt;="&amp;$G26,Таблица1[Дата],"&lt;"&amp;IF(ISNUMBER($G27),$G27,MAX(Таблица1[Дата])+1))</f>
        <v>0</v>
      </c>
      <c r="J26" s="21">
        <f>SUM(H$14:H26)</f>
        <v>978822</v>
      </c>
      <c r="K26" s="21">
        <f>SUM(I$14:I26)</f>
        <v>828751</v>
      </c>
    </row>
    <row r="27" spans="2:22" x14ac:dyDescent="0.2">
      <c r="B27" s="25">
        <v>41589</v>
      </c>
      <c r="C27" s="26">
        <v>11222</v>
      </c>
      <c r="D27" s="24">
        <v>11111</v>
      </c>
      <c r="F27" s="5">
        <v>14</v>
      </c>
      <c r="G27" s="19">
        <f>EOMONTH($G$14,F26-1)+1</f>
        <v>41913</v>
      </c>
      <c r="H27" s="21">
        <f>SUMIFS(Таблица1[План],Таблица1[Дата],"&gt;="&amp;$G27,Таблица1[Дата],"&lt;"&amp;IF(ISNUMBER($G28),$G28,MAX(Таблица1[Дата])+1))</f>
        <v>0</v>
      </c>
      <c r="I27" s="21">
        <f>SUMIFS(Таблица1[Факт],Таблица1[Дата],"&gt;="&amp;$G27,Таблица1[Дата],"&lt;"&amp;IF(ISNUMBER($G28),$G28,MAX(Таблица1[Дата])+1))</f>
        <v>0</v>
      </c>
      <c r="J27" s="21">
        <f>SUM(H$14:H27)</f>
        <v>978822</v>
      </c>
      <c r="K27" s="21">
        <f>SUM(I$14:I27)</f>
        <v>828751</v>
      </c>
    </row>
    <row r="28" spans="2:22" x14ac:dyDescent="0.2">
      <c r="B28" s="25">
        <v>41590</v>
      </c>
      <c r="C28" s="24">
        <v>24000</v>
      </c>
      <c r="D28" s="24">
        <v>26400</v>
      </c>
      <c r="F28" s="5">
        <v>15</v>
      </c>
      <c r="G28" s="19">
        <f>EOMONTH($G$14,F27-1)+1</f>
        <v>41944</v>
      </c>
      <c r="H28" s="21">
        <f>SUMIFS(Таблица1[План],Таблица1[Дата],"&gt;="&amp;$G28,Таблица1[Дата],"&lt;"&amp;IF(ISNUMBER($G29),$G29,MAX(Таблица1[Дата])+1))</f>
        <v>0</v>
      </c>
      <c r="I28" s="21">
        <f>SUMIFS(Таблица1[Факт],Таблица1[Дата],"&gt;="&amp;$G28,Таблица1[Дата],"&lt;"&amp;IF(ISNUMBER($G29),$G29,MAX(Таблица1[Дата])+1))</f>
        <v>0</v>
      </c>
      <c r="J28" s="21">
        <f>SUM(H$14:H28)</f>
        <v>978822</v>
      </c>
      <c r="K28" s="21">
        <f>SUM(I$14:I28)</f>
        <v>828751</v>
      </c>
    </row>
    <row r="29" spans="2:22" x14ac:dyDescent="0.2">
      <c r="B29" s="25">
        <v>41591</v>
      </c>
      <c r="C29" s="24">
        <v>24000</v>
      </c>
      <c r="D29" s="24">
        <v>31200</v>
      </c>
      <c r="F29" s="5">
        <v>16</v>
      </c>
      <c r="G29" s="19">
        <f>EOMONTH($G$14,F28-1)+1</f>
        <v>41974</v>
      </c>
      <c r="H29" s="21">
        <f>SUMIFS(Таблица1[План],Таблица1[Дата],"&gt;="&amp;$G29,Таблица1[Дата],"&lt;"&amp;IF(ISNUMBER($G30),$G30,MAX(Таблица1[Дата])+1))</f>
        <v>198000</v>
      </c>
      <c r="I29" s="21">
        <f>SUMIFS(Таблица1[Факт],Таблица1[Дата],"&gt;="&amp;$G29,Таблица1[Дата],"&lt;"&amp;IF(ISNUMBER($G30),$G30,MAX(Таблица1[Дата])+1))</f>
        <v>129800</v>
      </c>
      <c r="J29" s="21">
        <f>SUM(H$14:H29)</f>
        <v>1176822</v>
      </c>
      <c r="K29" s="21">
        <f>SUM(I$14:I29)</f>
        <v>958551</v>
      </c>
    </row>
    <row r="30" spans="2:22" x14ac:dyDescent="0.2">
      <c r="B30" s="25">
        <v>41592</v>
      </c>
      <c r="C30" s="24">
        <v>24000</v>
      </c>
      <c r="D30" s="24">
        <v>21600</v>
      </c>
      <c r="F30" s="5">
        <v>17</v>
      </c>
      <c r="G30" s="19">
        <f>EOMONTH($G$14,F29-1)+1</f>
        <v>42005</v>
      </c>
      <c r="H30" s="21">
        <f>SUMIFS(Таблица1[План],Таблица1[Дата],"&gt;="&amp;$G30,Таблица1[Дата],"&lt;"&amp;IF(ISNUMBER($G31),$G31,MAX(Таблица1[Дата])+1))</f>
        <v>88000</v>
      </c>
      <c r="I30" s="21">
        <f>SUMIFS(Таблица1[Факт],Таблица1[Дата],"&gt;="&amp;$G30,Таблица1[Дата],"&lt;"&amp;IF(ISNUMBER($G31),$G31,MAX(Таблица1[Дата])+1))</f>
        <v>50600</v>
      </c>
      <c r="J30" s="21">
        <f>SUM(H$14:H30)</f>
        <v>1264822</v>
      </c>
      <c r="K30" s="21">
        <f>SUM(I$14:I30)</f>
        <v>1009151</v>
      </c>
    </row>
    <row r="31" spans="2:22" x14ac:dyDescent="0.2">
      <c r="B31" s="25">
        <v>41593</v>
      </c>
      <c r="C31" s="24">
        <v>24000</v>
      </c>
      <c r="D31" s="24">
        <v>24000</v>
      </c>
      <c r="F31" s="5">
        <v>18</v>
      </c>
      <c r="G31" s="19">
        <f>EOMONTH($G$14,F30-1)+1</f>
        <v>42036</v>
      </c>
      <c r="H31" s="21">
        <f>SUMIFS(Таблица1[План],Таблица1[Дата],"&gt;="&amp;$G31,Таблица1[Дата],"&lt;"&amp;IF(ISNUMBER($G32),$G32,MAX(Таблица1[Дата])+1))</f>
        <v>0</v>
      </c>
      <c r="I31" s="21">
        <f>SUMIFS(Таблица1[Факт],Таблица1[Дата],"&gt;="&amp;$G31,Таблица1[Дата],"&lt;"&amp;IF(ISNUMBER($G32),$G32,MAX(Таблица1[Дата])+1))</f>
        <v>0</v>
      </c>
      <c r="J31" s="21">
        <f>SUM(H$14:H31)</f>
        <v>1264822</v>
      </c>
      <c r="K31" s="21">
        <f>SUM(I$14:I31)</f>
        <v>1009151</v>
      </c>
    </row>
    <row r="32" spans="2:22" x14ac:dyDescent="0.2">
      <c r="B32" s="25">
        <v>41598</v>
      </c>
      <c r="C32" s="24">
        <v>24000</v>
      </c>
      <c r="D32" s="24">
        <v>24000</v>
      </c>
      <c r="F32" s="5">
        <v>19</v>
      </c>
      <c r="G32" s="19">
        <f>EOMONTH($G$14,F31-1)+1</f>
        <v>42064</v>
      </c>
      <c r="H32" s="21">
        <f>SUMIFS(Таблица1[План],Таблица1[Дата],"&gt;="&amp;$G32,Таблица1[Дата],"&lt;"&amp;IF(ISNUMBER($G33),$G33,MAX(Таблица1[Дата])+1))</f>
        <v>0</v>
      </c>
      <c r="I32" s="21">
        <f>SUMIFS(Таблица1[Факт],Таблица1[Дата],"&gt;="&amp;$G32,Таблица1[Дата],"&lt;"&amp;IF(ISNUMBER($G33),$G33,MAX(Таблица1[Дата])+1))</f>
        <v>0</v>
      </c>
      <c r="J32" s="21">
        <f>SUM(H$14:H32)</f>
        <v>1264822</v>
      </c>
      <c r="K32" s="21">
        <f>SUM(I$14:I32)</f>
        <v>1009151</v>
      </c>
    </row>
    <row r="33" spans="2:11" x14ac:dyDescent="0.2">
      <c r="B33" s="25">
        <v>41601</v>
      </c>
      <c r="C33" s="24">
        <v>24000</v>
      </c>
      <c r="D33" s="24">
        <v>28800</v>
      </c>
      <c r="F33" s="5">
        <v>20</v>
      </c>
      <c r="G33" s="19">
        <f>EOMONTH($G$14,F32-1)+1</f>
        <v>42095</v>
      </c>
      <c r="H33" s="21">
        <f>SUMIFS(Таблица1[План],Таблица1[Дата],"&gt;="&amp;$G33,Таблица1[Дата],"&lt;"&amp;IF(ISNUMBER($G34),$G34,MAX(Таблица1[Дата])+1))</f>
        <v>0</v>
      </c>
      <c r="I33" s="21">
        <f>SUMIFS(Таблица1[Факт],Таблица1[Дата],"&gt;="&amp;$G33,Таблица1[Дата],"&lt;"&amp;IF(ISNUMBER($G34),$G34,MAX(Таблица1[Дата])+1))</f>
        <v>0</v>
      </c>
      <c r="J33" s="21">
        <f>SUM(H$14:H33)</f>
        <v>1264822</v>
      </c>
      <c r="K33" s="21">
        <f>SUM(I$14:I33)</f>
        <v>1009151</v>
      </c>
    </row>
    <row r="34" spans="2:11" x14ac:dyDescent="0.2">
      <c r="B34" s="25">
        <v>41602</v>
      </c>
      <c r="C34" s="24">
        <v>24000</v>
      </c>
      <c r="D34" s="24">
        <v>14400</v>
      </c>
      <c r="F34" s="5">
        <v>21</v>
      </c>
      <c r="G34" s="19">
        <f>EOMONTH($G$14,F33-1)+1</f>
        <v>42125</v>
      </c>
      <c r="H34" s="21">
        <f>SUMIFS(Таблица1[План],Таблица1[Дата],"&gt;="&amp;$G34,Таблица1[Дата],"&lt;"&amp;IF(ISNUMBER($G35),$G35,MAX(Таблица1[Дата])+1))</f>
        <v>0</v>
      </c>
      <c r="I34" s="21">
        <f>SUMIFS(Таблица1[Факт],Таблица1[Дата],"&gt;="&amp;$G34,Таблица1[Дата],"&lt;"&amp;IF(ISNUMBER($G35),$G35,MAX(Таблица1[Дата])+1))</f>
        <v>0</v>
      </c>
      <c r="J34" s="21">
        <f>SUM(H$14:H34)</f>
        <v>1264822</v>
      </c>
      <c r="K34" s="21">
        <f>SUM(I$14:I34)</f>
        <v>1009151</v>
      </c>
    </row>
    <row r="35" spans="2:11" x14ac:dyDescent="0.2">
      <c r="B35" s="25">
        <v>41603</v>
      </c>
      <c r="C35" s="24">
        <v>28800</v>
      </c>
      <c r="D35" s="24">
        <v>23040</v>
      </c>
      <c r="F35" s="5">
        <v>22</v>
      </c>
      <c r="G35" s="19">
        <f>EOMONTH($G$14,F34-1)+1</f>
        <v>42156</v>
      </c>
      <c r="H35" s="21">
        <f>SUMIFS(Таблица1[План],Таблица1[Дата],"&gt;="&amp;$G35,Таблица1[Дата],"&lt;"&amp;IF(ISNUMBER($G36),$G36,MAX(Таблица1[Дата])+1))</f>
        <v>0</v>
      </c>
      <c r="I35" s="21">
        <f>SUMIFS(Таблица1[Факт],Таблица1[Дата],"&gt;="&amp;$G35,Таблица1[Дата],"&lt;"&amp;IF(ISNUMBER($G36),$G36,MAX(Таблица1[Дата])+1))</f>
        <v>0</v>
      </c>
      <c r="J35" s="21">
        <f>SUM(H$14:H35)</f>
        <v>1264822</v>
      </c>
      <c r="K35" s="21">
        <f>SUM(I$14:I35)</f>
        <v>1009151</v>
      </c>
    </row>
    <row r="36" spans="2:11" x14ac:dyDescent="0.2">
      <c r="B36" s="25">
        <v>41604</v>
      </c>
      <c r="C36" s="24">
        <v>28800</v>
      </c>
      <c r="D36" s="24">
        <v>20160</v>
      </c>
      <c r="F36" s="5">
        <v>23</v>
      </c>
      <c r="G36" s="19">
        <f>EOMONTH($G$14,F35-1)+1</f>
        <v>42186</v>
      </c>
      <c r="H36" s="21">
        <f>SUMIFS(Таблица1[План],Таблица1[Дата],"&gt;="&amp;$G36,Таблица1[Дата],"&lt;"&amp;IF(ISNUMBER($G37),$G37,MAX(Таблица1[Дата])+1))</f>
        <v>0</v>
      </c>
      <c r="I36" s="21">
        <f>SUMIFS(Таблица1[Факт],Таблица1[Дата],"&gt;="&amp;$G36,Таблица1[Дата],"&lt;"&amp;IF(ISNUMBER($G37),$G37,MAX(Таблица1[Дата])+1))</f>
        <v>0</v>
      </c>
      <c r="J36" s="21">
        <f>SUM(H$14:H36)</f>
        <v>1264822</v>
      </c>
      <c r="K36" s="21">
        <f>SUM(I$14:I36)</f>
        <v>1009151</v>
      </c>
    </row>
    <row r="37" spans="2:11" x14ac:dyDescent="0.2">
      <c r="B37" s="25">
        <v>41605</v>
      </c>
      <c r="C37" s="24">
        <v>28800</v>
      </c>
      <c r="D37" s="24">
        <v>25920</v>
      </c>
      <c r="F37" s="5">
        <v>24</v>
      </c>
      <c r="G37" s="19">
        <f>EOMONTH($G$14,F36-1)+1</f>
        <v>42217</v>
      </c>
      <c r="H37" s="21">
        <f>SUMIFS(Таблица1[План],Таблица1[Дата],"&gt;="&amp;$G37,Таблица1[Дата],"&lt;"&amp;IF(ISNUMBER($M38),$M38,MAX(Таблица1[Дата])+1))</f>
        <v>0</v>
      </c>
      <c r="I37" s="21">
        <f>SUMIFS(Таблица1[Факт],Таблица1[Дата],"&gt;="&amp;$G37,Таблица1[Дата],"&lt;"&amp;IF(ISNUMBER($M38),$M38,MAX(Таблица1[Дата])+1))</f>
        <v>0</v>
      </c>
      <c r="J37" s="21">
        <f>SUM(H$14:H37)</f>
        <v>1264822</v>
      </c>
      <c r="K37" s="21">
        <f>SUM(I$14:I37)</f>
        <v>1009151</v>
      </c>
    </row>
    <row r="38" spans="2:11" x14ac:dyDescent="0.2">
      <c r="B38" s="25">
        <v>41606</v>
      </c>
      <c r="C38" s="24">
        <v>28800</v>
      </c>
      <c r="D38" s="24">
        <v>28800</v>
      </c>
    </row>
    <row r="39" spans="2:11" x14ac:dyDescent="0.2">
      <c r="B39" s="25">
        <v>41607</v>
      </c>
      <c r="C39" s="24">
        <v>28800</v>
      </c>
      <c r="D39" s="24">
        <v>34560</v>
      </c>
    </row>
    <row r="40" spans="2:11" x14ac:dyDescent="0.2">
      <c r="B40" s="25">
        <v>41608</v>
      </c>
      <c r="C40" s="24">
        <v>28800</v>
      </c>
      <c r="D40" s="24">
        <v>14400</v>
      </c>
    </row>
    <row r="41" spans="2:11" x14ac:dyDescent="0.2">
      <c r="B41" s="25">
        <v>41640</v>
      </c>
      <c r="C41" s="24">
        <v>22000</v>
      </c>
      <c r="D41" s="24">
        <v>6600</v>
      </c>
    </row>
    <row r="42" spans="2:11" x14ac:dyDescent="0.2">
      <c r="B42" s="25">
        <v>41641</v>
      </c>
      <c r="C42" s="24">
        <v>22000</v>
      </c>
      <c r="D42" s="24">
        <v>15400</v>
      </c>
    </row>
    <row r="43" spans="2:11" x14ac:dyDescent="0.2">
      <c r="B43" s="25">
        <v>41642</v>
      </c>
      <c r="C43" s="24">
        <v>22000</v>
      </c>
      <c r="D43" s="24">
        <v>17600</v>
      </c>
    </row>
    <row r="44" spans="2:11" x14ac:dyDescent="0.2">
      <c r="B44" s="25">
        <v>41643</v>
      </c>
      <c r="C44" s="24">
        <v>22000</v>
      </c>
      <c r="D44" s="24">
        <v>22000</v>
      </c>
    </row>
    <row r="45" spans="2:11" x14ac:dyDescent="0.2">
      <c r="B45" s="25">
        <v>41644</v>
      </c>
      <c r="C45" s="24">
        <v>22000</v>
      </c>
      <c r="D45" s="24">
        <v>11000</v>
      </c>
    </row>
    <row r="46" spans="2:11" x14ac:dyDescent="0.2">
      <c r="B46" s="25">
        <v>41645</v>
      </c>
      <c r="C46" s="24">
        <v>22000</v>
      </c>
      <c r="D46" s="24">
        <v>15400</v>
      </c>
    </row>
    <row r="47" spans="2:11" x14ac:dyDescent="0.2">
      <c r="B47" s="25">
        <v>41646</v>
      </c>
      <c r="C47" s="24">
        <v>22000</v>
      </c>
      <c r="D47" s="24">
        <v>4400</v>
      </c>
    </row>
    <row r="48" spans="2:11" x14ac:dyDescent="0.2">
      <c r="B48" s="23">
        <v>41678</v>
      </c>
      <c r="C48" s="24">
        <v>22000</v>
      </c>
      <c r="D48" s="24">
        <v>15400</v>
      </c>
    </row>
    <row r="49" spans="2:4" x14ac:dyDescent="0.2">
      <c r="B49" s="23">
        <v>41679</v>
      </c>
      <c r="C49" s="24">
        <v>22000</v>
      </c>
      <c r="D49" s="24">
        <v>13200</v>
      </c>
    </row>
    <row r="50" spans="2:4" x14ac:dyDescent="0.2">
      <c r="B50" s="23">
        <v>41680</v>
      </c>
      <c r="C50" s="24">
        <v>22000</v>
      </c>
      <c r="D50" s="24">
        <v>13200</v>
      </c>
    </row>
    <row r="51" spans="2:4" x14ac:dyDescent="0.2">
      <c r="B51" s="23">
        <v>41685</v>
      </c>
      <c r="C51" s="24">
        <v>22000</v>
      </c>
      <c r="D51" s="24">
        <v>17600</v>
      </c>
    </row>
    <row r="52" spans="2:4" x14ac:dyDescent="0.2">
      <c r="B52" s="23">
        <v>41686</v>
      </c>
      <c r="C52" s="24">
        <v>22000</v>
      </c>
      <c r="D52" s="24">
        <v>17600</v>
      </c>
    </row>
    <row r="53" spans="2:4" x14ac:dyDescent="0.2">
      <c r="B53" s="23">
        <v>41690</v>
      </c>
      <c r="C53" s="24">
        <v>22000</v>
      </c>
      <c r="D53" s="24">
        <v>13200</v>
      </c>
    </row>
    <row r="54" spans="2:4" x14ac:dyDescent="0.2">
      <c r="B54" s="23">
        <v>41996</v>
      </c>
      <c r="C54" s="24">
        <v>22000</v>
      </c>
      <c r="D54" s="24">
        <v>22000</v>
      </c>
    </row>
    <row r="55" spans="2:4" x14ac:dyDescent="0.2">
      <c r="B55" s="23">
        <v>41997</v>
      </c>
      <c r="C55" s="24">
        <v>22000</v>
      </c>
      <c r="D55" s="24">
        <v>6600</v>
      </c>
    </row>
    <row r="56" spans="2:4" x14ac:dyDescent="0.2">
      <c r="B56" s="23">
        <v>41998</v>
      </c>
      <c r="C56" s="24">
        <v>22000</v>
      </c>
      <c r="D56" s="24">
        <v>4400</v>
      </c>
    </row>
    <row r="57" spans="2:4" x14ac:dyDescent="0.2">
      <c r="B57" s="23">
        <v>41999</v>
      </c>
      <c r="C57" s="24">
        <v>22000</v>
      </c>
      <c r="D57" s="24">
        <v>15400</v>
      </c>
    </row>
    <row r="58" spans="2:4" x14ac:dyDescent="0.2">
      <c r="B58" s="23">
        <v>42000</v>
      </c>
      <c r="C58" s="24">
        <v>22000</v>
      </c>
      <c r="D58" s="24">
        <v>19800</v>
      </c>
    </row>
    <row r="59" spans="2:4" x14ac:dyDescent="0.2">
      <c r="B59" s="23">
        <v>42001</v>
      </c>
      <c r="C59" s="24">
        <v>22000</v>
      </c>
      <c r="D59" s="24">
        <v>8800</v>
      </c>
    </row>
    <row r="60" spans="2:4" x14ac:dyDescent="0.2">
      <c r="B60" s="23">
        <v>42002</v>
      </c>
      <c r="C60" s="24">
        <v>22000</v>
      </c>
      <c r="D60" s="24">
        <v>17600</v>
      </c>
    </row>
    <row r="61" spans="2:4" x14ac:dyDescent="0.2">
      <c r="B61" s="23">
        <v>42003</v>
      </c>
      <c r="C61" s="24">
        <v>22000</v>
      </c>
      <c r="D61" s="24">
        <v>24200</v>
      </c>
    </row>
    <row r="62" spans="2:4" x14ac:dyDescent="0.2">
      <c r="B62" s="23">
        <v>42004</v>
      </c>
      <c r="C62" s="24">
        <v>22000</v>
      </c>
      <c r="D62" s="24">
        <v>11000</v>
      </c>
    </row>
    <row r="63" spans="2:4" x14ac:dyDescent="0.2">
      <c r="B63" s="23">
        <v>42005</v>
      </c>
      <c r="C63" s="24">
        <v>22000</v>
      </c>
      <c r="D63" s="24">
        <v>28600</v>
      </c>
    </row>
    <row r="64" spans="2:4" x14ac:dyDescent="0.2">
      <c r="B64" s="23">
        <v>42006</v>
      </c>
      <c r="C64" s="24">
        <v>22000</v>
      </c>
      <c r="D64" s="24">
        <v>22000</v>
      </c>
    </row>
    <row r="65" spans="2:4" x14ac:dyDescent="0.2">
      <c r="B65" s="23">
        <v>42007</v>
      </c>
      <c r="C65" s="24">
        <v>22000</v>
      </c>
      <c r="D65" s="24"/>
    </row>
    <row r="66" spans="2:4" x14ac:dyDescent="0.2">
      <c r="B66" s="23">
        <v>42008</v>
      </c>
      <c r="C66" s="24">
        <v>22000</v>
      </c>
      <c r="D66" s="24"/>
    </row>
    <row r="67" spans="2:4" x14ac:dyDescent="0.2">
      <c r="B67" s="4"/>
    </row>
    <row r="68" spans="2:4" x14ac:dyDescent="0.2">
      <c r="B68" s="4"/>
    </row>
    <row r="69" spans="2:4" x14ac:dyDescent="0.2">
      <c r="B69" s="4"/>
    </row>
    <row r="70" spans="2:4" x14ac:dyDescent="0.2">
      <c r="B70" s="4"/>
    </row>
    <row r="71" spans="2:4" x14ac:dyDescent="0.2">
      <c r="B71" s="4"/>
    </row>
    <row r="72" spans="2:4" x14ac:dyDescent="0.2">
      <c r="B72" s="4"/>
    </row>
    <row r="73" spans="2:4" x14ac:dyDescent="0.2">
      <c r="B73" s="4"/>
    </row>
    <row r="74" spans="2:4" x14ac:dyDescent="0.2">
      <c r="B74" s="4"/>
    </row>
    <row r="75" spans="2:4" x14ac:dyDescent="0.2">
      <c r="B75" s="6"/>
      <c r="C75" s="7"/>
      <c r="D75" s="7"/>
    </row>
    <row r="76" spans="2:4" x14ac:dyDescent="0.2">
      <c r="B76" s="6"/>
      <c r="C76" s="7"/>
    </row>
    <row r="77" spans="2:4" x14ac:dyDescent="0.2">
      <c r="B77" s="6"/>
      <c r="C77" s="7"/>
    </row>
    <row r="78" spans="2:4" x14ac:dyDescent="0.2">
      <c r="B78" s="6"/>
      <c r="C78" s="7"/>
    </row>
    <row r="79" spans="2:4" x14ac:dyDescent="0.2">
      <c r="B79" s="6"/>
      <c r="C79" s="7"/>
    </row>
    <row r="80" spans="2:4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</sheetData>
  <conditionalFormatting sqref="D8">
    <cfRule type="cellIs" dxfId="3" priority="1" operator="lessThan">
      <formula>1</formula>
    </cfRule>
  </conditionalFormatting>
  <hyperlinks>
    <hyperlink ref="A1:E1" r:id="rId1" display="Файл скачан с сайта excel2.ru &gt;&gt;&gt;"/>
    <hyperlink ref="F1" r:id="rId2" display="Файл скачан с сайта excel2.ru &gt;&gt;&gt;"/>
    <hyperlink ref="G1" r:id="rId3" display="Файл скачан с сайта excel2.ru &gt;&gt;&gt;"/>
    <hyperlink ref="H1" r:id="rId4" display="Файл скачан с сайта excel2.ru &gt;&gt;&gt;"/>
    <hyperlink ref="I1" r:id="rId5" display="Файл скачан с сайта excel2.ru &gt;&gt;&gt;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  <hyperlink ref="Q1" r:id="rId13" display="Файл скачан с сайта excel2.ru &gt;&gt;&gt;"/>
    <hyperlink ref="R1" r:id="rId14" display="Файл скачан с сайта excel2.ru &gt;&gt;&gt;"/>
    <hyperlink ref="S1" r:id="rId15" display="Файл скачан с сайта excel2.ru &gt;&gt;&gt;"/>
    <hyperlink ref="A2" r:id="rId16"/>
  </hyperlinks>
  <pageMargins left="0.75" right="0.75" top="1" bottom="1" header="0.5" footer="0.5"/>
  <pageSetup paperSize="9" orientation="portrait" horizontalDpi="300" verticalDpi="300" r:id="rId17"/>
  <headerFooter alignWithMargins="0"/>
  <drawing r:id="rId18"/>
  <tableParts count="1">
    <tablePart r:id="rId19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zoomScaleNormal="100" workbookViewId="0">
      <selection activeCell="A2" sqref="A2"/>
    </sheetView>
  </sheetViews>
  <sheetFormatPr defaultRowHeight="12.75" x14ac:dyDescent="0.2"/>
  <cols>
    <col min="1" max="1" width="18.28515625" customWidth="1"/>
    <col min="2" max="2" width="10.28515625" bestFit="1" customWidth="1"/>
    <col min="3" max="4" width="10.140625" bestFit="1" customWidth="1"/>
    <col min="5" max="5" width="11.7109375" customWidth="1"/>
    <col min="6" max="6" width="8.42578125" customWidth="1"/>
    <col min="7" max="7" width="8.7109375" customWidth="1"/>
    <col min="8" max="8" width="13.7109375" customWidth="1"/>
    <col min="9" max="9" width="9.7109375" customWidth="1"/>
    <col min="10" max="10" width="10.5703125" customWidth="1"/>
    <col min="11" max="11" width="7.5703125" bestFit="1" customWidth="1"/>
    <col min="12" max="12" width="9.28515625" bestFit="1" customWidth="1"/>
    <col min="13" max="13" width="10.28515625" bestFit="1" customWidth="1"/>
    <col min="252" max="252" width="10" customWidth="1"/>
    <col min="270" max="270" width="10" customWidth="1"/>
    <col min="333" max="333" width="8.5703125" customWidth="1"/>
    <col min="351" max="351" width="8.5703125" customWidth="1"/>
  </cols>
  <sheetData>
    <row r="1" spans="1:19" ht="26.25" x14ac:dyDescent="0.2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x14ac:dyDescent="0.25">
      <c r="A2" s="42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8.75" x14ac:dyDescent="0.2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4.25" x14ac:dyDescent="0.2">
      <c r="A4" s="16" t="str">
        <f>'Ввод данных'!A4</f>
        <v>Сложный случай - в ходе проекта в некоторых месяцах работа не производится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0" x14ac:dyDescent="0.25">
      <c r="A5" s="36" t="s">
        <v>18</v>
      </c>
      <c r="B5" t="str">
        <f>'Ввод данных'!C6</f>
        <v>Строительство подстанции</v>
      </c>
    </row>
    <row r="6" spans="1:19" x14ac:dyDescent="0.2">
      <c r="A6" s="2"/>
    </row>
    <row r="7" spans="1:19" x14ac:dyDescent="0.2">
      <c r="A7" s="2"/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>
        <v>16</v>
      </c>
      <c r="R7" s="34">
        <v>17</v>
      </c>
      <c r="S7" s="34">
        <v>18</v>
      </c>
    </row>
    <row r="8" spans="1:19" x14ac:dyDescent="0.2">
      <c r="A8" s="2" t="s">
        <v>29</v>
      </c>
      <c r="B8" s="35">
        <f>'Ввод данных'!B14</f>
        <v>41519</v>
      </c>
      <c r="C8" s="19">
        <f>IFERROR(INDEX(Таблица1[[Дата]:[Дата]],MATCH(EOMONTH(B8,0)+1,Таблица1[[Дата]:[Дата]],1)+ISNA(MATCH(EOMONTH(B8,0)+1,Таблица1[[Дата]:[Дата]],0))),"")</f>
        <v>41550</v>
      </c>
      <c r="D8" s="19">
        <f>IFERROR(INDEX(Таблица1[[Дата]:[Дата]],MATCH(EOMONTH(C8,0)+1,Таблица1[[Дата]:[Дата]],1)+ISNA(MATCH(EOMONTH(C8,0)+1,Таблица1[[Дата]:[Дата]],0))),"")</f>
        <v>41588</v>
      </c>
      <c r="E8" s="19">
        <f>IFERROR(INDEX(Таблица1[[Дата]:[Дата]],MATCH(EOMONTH(D8,0)+1,Таблица1[[Дата]:[Дата]],1)+ISNA(MATCH(EOMONTH(D8,0)+1,Таблица1[[Дата]:[Дата]],0))),"")</f>
        <v>41640</v>
      </c>
      <c r="F8" s="19">
        <f>IFERROR(INDEX(Таблица1[[Дата]:[Дата]],MATCH(EOMONTH(E8,0)+1,Таблица1[[Дата]:[Дата]],1)+ISNA(MATCH(EOMONTH(E8,0)+1,Таблица1[[Дата]:[Дата]],0))),"")</f>
        <v>41678</v>
      </c>
      <c r="G8" s="19">
        <f>IFERROR(INDEX(Таблица1[[Дата]:[Дата]],MATCH(EOMONTH(F8,0)+1,Таблица1[[Дата]:[Дата]],1)+ISNA(MATCH(EOMONTH(F8,0)+1,Таблица1[[Дата]:[Дата]],0))),"")</f>
        <v>41996</v>
      </c>
      <c r="H8" s="19">
        <f>IFERROR(INDEX(Таблица1[[Дата]:[Дата]],MATCH(EOMONTH(G8,0)+1,Таблица1[[Дата]:[Дата]],1)+ISNA(MATCH(EOMONTH(G8,0)+1,Таблица1[[Дата]:[Дата]],0))),"")</f>
        <v>42005</v>
      </c>
      <c r="I8" s="19" t="str">
        <f>IFERROR(INDEX(Таблица1[[Дата]:[Дата]],MATCH(EOMONTH(H8,0)+1,Таблица1[[Дата]:[Дата]],1)+1),"")</f>
        <v/>
      </c>
      <c r="J8" s="19" t="str">
        <f>IFERROR(INDEX(Таблица1[[Дата]:[Дата]],MATCH(EOMONTH(I8,0)+1,Таблица1[[Дата]:[Дата]],1)+1),"")</f>
        <v/>
      </c>
      <c r="K8" s="19" t="str">
        <f>IFERROR(INDEX(Таблица1[[Дата]:[Дата]],MATCH(EOMONTH(J8,0)+1,Таблица1[[Дата]:[Дата]],1)+1),"")</f>
        <v/>
      </c>
      <c r="L8" s="19" t="str">
        <f>IFERROR(INDEX(Таблица1[[Дата]:[Дата]],MATCH(EOMONTH(K8,0)+1,Таблица1[[Дата]:[Дата]],1)+1),"")</f>
        <v/>
      </c>
      <c r="M8" s="19" t="str">
        <f>IFERROR(INDEX(Таблица1[[Дата]:[Дата]],MATCH(EOMONTH(L8,0)+1,Таблица1[[Дата]:[Дата]],1)+1),"")</f>
        <v/>
      </c>
      <c r="N8" s="19" t="str">
        <f>IFERROR(INDEX(Таблица1[[Дата]:[Дата]],MATCH(EOMONTH(M8,0)+1,Таблица1[[Дата]:[Дата]],1)+1),"")</f>
        <v/>
      </c>
      <c r="O8" s="19" t="str">
        <f>IFERROR(INDEX(Таблица1[[Дата]:[Дата]],MATCH(EOMONTH(N8,0)+1,Таблица1[[Дата]:[Дата]],1)+1),"")</f>
        <v/>
      </c>
      <c r="P8" s="19" t="str">
        <f>IFERROR(INDEX(Таблица1[[Дата]:[Дата]],MATCH(EOMONTH(O8,0)+1,Таблица1[[Дата]:[Дата]],1)+1),"")</f>
        <v/>
      </c>
      <c r="Q8" s="19" t="str">
        <f>IFERROR(INDEX(Таблица1[[Дата]:[Дата]],MATCH(EOMONTH(P8,0)+1,Таблица1[[Дата]:[Дата]],1)+1),"")</f>
        <v/>
      </c>
      <c r="R8" s="19" t="str">
        <f>IFERROR(INDEX(Таблица1[[Дата]:[Дата]],MATCH(EOMONTH(Q8,0)+1,Таблица1[[Дата]:[Дата]],1)+1),"")</f>
        <v/>
      </c>
      <c r="S8" s="19" t="str">
        <f>IFERROR(INDEX(Таблица1[[Дата]:[Дата]],MATCH(EOMONTH(R8,0)+1,Таблица1[[Дата]:[Дата]],1)+1),"")</f>
        <v/>
      </c>
    </row>
    <row r="9" spans="1:19" ht="25.5" x14ac:dyDescent="0.2">
      <c r="A9" s="18" t="s">
        <v>30</v>
      </c>
      <c r="B9" s="5">
        <f>IFERROR(MATCH(B8,Таблица1[[Дата]:[Дата]],0),"")</f>
        <v>1</v>
      </c>
      <c r="C9" s="5">
        <f>IFERROR(MATCH(C8,Таблица1[[Дата]:[Дата]],0),"")</f>
        <v>2</v>
      </c>
      <c r="D9" s="5">
        <f>IFERROR(MATCH(D8,Таблица1[[Дата]:[Дата]],0),"")</f>
        <v>13</v>
      </c>
      <c r="E9" s="5">
        <f>IFERROR(MATCH(E8,Таблица1[[Дата]:[Дата]],0),"")</f>
        <v>28</v>
      </c>
      <c r="F9" s="5">
        <f>IFERROR(MATCH(F8,Таблица1[[Дата]:[Дата]],0),"")</f>
        <v>35</v>
      </c>
      <c r="G9" s="5">
        <f>IFERROR(MATCH(G8,Таблица1[[Дата]:[Дата]],0),"")</f>
        <v>41</v>
      </c>
      <c r="H9" s="5">
        <f>IFERROR(MATCH(H8,Таблица1[[Дата]:[Дата]],0),"")</f>
        <v>50</v>
      </c>
      <c r="I9" s="5" t="str">
        <f>IFERROR(MATCH(I8,Таблица1[[Дата]:[Дата]],0),"")</f>
        <v/>
      </c>
      <c r="J9" s="5" t="str">
        <f>IFERROR(MATCH(J8,Таблица1[[Дата]:[Дата]],0),"")</f>
        <v/>
      </c>
      <c r="K9" s="5" t="str">
        <f>IFERROR(MATCH(K8,Таблица1[[Дата]:[Дата]],0),"")</f>
        <v/>
      </c>
      <c r="L9" s="5" t="str">
        <f>IFERROR(MATCH(L8,Таблица1[[Дата]:[Дата]],0),"")</f>
        <v/>
      </c>
      <c r="M9" s="5" t="str">
        <f>IFERROR(MATCH(M8,Таблица1[[Дата]:[Дата]],0),"")</f>
        <v/>
      </c>
      <c r="N9" s="5" t="str">
        <f>IFERROR(MATCH(N8,Таблица1[[Дата]:[Дата]],0),"")</f>
        <v/>
      </c>
      <c r="O9" s="5" t="str">
        <f>IFERROR(MATCH(O8,Таблица1[[Дата]:[Дата]],0),"")</f>
        <v/>
      </c>
      <c r="P9" s="5" t="str">
        <f>IFERROR(MATCH(P8,Таблица1[[Дата]:[Дата]],0),"")</f>
        <v/>
      </c>
      <c r="Q9" s="5" t="str">
        <f>IFERROR(MATCH(Q8,Таблица1[[Дата]:[Дата]],0),"")</f>
        <v/>
      </c>
      <c r="R9" s="5" t="str">
        <f>IFERROR(MATCH(R8,Таблица1[[Дата]:[Дата]],0),"")</f>
        <v/>
      </c>
      <c r="S9" s="5" t="str">
        <f>IFERROR(MATCH(S8,Таблица1[[Дата]:[Дата]],0),"")</f>
        <v/>
      </c>
    </row>
    <row r="10" spans="1:19" x14ac:dyDescent="0.2">
      <c r="A10" s="2"/>
    </row>
    <row r="11" spans="1:19" x14ac:dyDescent="0.2">
      <c r="A11" s="2"/>
    </row>
    <row r="12" spans="1:19" x14ac:dyDescent="0.2">
      <c r="A12">
        <v>44</v>
      </c>
      <c r="B12" s="4"/>
      <c r="C12" s="4"/>
      <c r="D12" s="4"/>
    </row>
    <row r="13" spans="1:19" x14ac:dyDescent="0.2">
      <c r="K13" s="2"/>
    </row>
    <row r="14" spans="1:19" x14ac:dyDescent="0.2">
      <c r="A14" s="5" t="s">
        <v>26</v>
      </c>
      <c r="B14" s="5">
        <f>COUNT(B8:S8)</f>
        <v>7</v>
      </c>
      <c r="E14" s="9" t="s">
        <v>7</v>
      </c>
      <c r="F14" s="28"/>
      <c r="G14" s="28"/>
      <c r="H14" s="27">
        <f ca="1">G16/F16</f>
        <v>0.96063515238090236</v>
      </c>
    </row>
    <row r="15" spans="1:19" x14ac:dyDescent="0.2">
      <c r="A15" s="5" t="s">
        <v>28</v>
      </c>
      <c r="B15" s="5">
        <f>A12+1-INT(A12/B14)*B14</f>
        <v>3</v>
      </c>
      <c r="H15" s="4"/>
      <c r="I15" s="4"/>
    </row>
    <row r="16" spans="1:19" ht="25.5" x14ac:dyDescent="0.2">
      <c r="A16" s="33" t="s">
        <v>27</v>
      </c>
      <c r="B16" s="5">
        <f ca="1">OFFSET(B9,,B15-1,)</f>
        <v>13</v>
      </c>
      <c r="E16" s="1" t="s">
        <v>5</v>
      </c>
      <c r="F16" s="22">
        <f ca="1">SUMIF(F20:F50,"&gt;0",F20:F50)</f>
        <v>380822</v>
      </c>
      <c r="G16" s="22">
        <f ca="1">SUMIF(G20:G50,"&gt;0",G20:G50)</f>
        <v>365831</v>
      </c>
      <c r="H16" s="4"/>
      <c r="J16" s="2" t="str">
        <f ca="1">'Детализация по месяцам'!$B$5&amp;"; "&amp;TEXT(OFFSET(B8,,B15-1),"ММММ, ГГГГ")&amp;"; "&amp;CHAR(10)&amp;"% вып. месяца: "&amp;TEXT(H14,"00%")</f>
        <v>Строительство подстанции; Ноябрь, 2013; 
% вып. месяца: 96%</v>
      </c>
    </row>
    <row r="17" spans="1:9" ht="25.5" x14ac:dyDescent="0.2">
      <c r="A17" s="33" t="s">
        <v>48</v>
      </c>
      <c r="B17" s="5">
        <f ca="1">IF(OFFSET(B9,,B15,)="",COUNT(Таблица1[Дата])+1,OFFSET(B9,,B15,))-B16</f>
        <v>15</v>
      </c>
      <c r="H17" s="4"/>
    </row>
    <row r="18" spans="1:9" x14ac:dyDescent="0.2">
      <c r="D18" s="2" t="s">
        <v>10</v>
      </c>
    </row>
    <row r="19" spans="1:9" x14ac:dyDescent="0.2">
      <c r="A19" s="1" t="s">
        <v>4</v>
      </c>
      <c r="B19" s="1" t="s">
        <v>0</v>
      </c>
      <c r="D19" s="20" t="s">
        <v>19</v>
      </c>
      <c r="E19" s="1" t="s">
        <v>0</v>
      </c>
      <c r="F19" s="1" t="s">
        <v>1</v>
      </c>
      <c r="G19" s="1" t="s">
        <v>2</v>
      </c>
      <c r="H19" s="1" t="s">
        <v>9</v>
      </c>
      <c r="I19" s="2"/>
    </row>
    <row r="20" spans="1:9" x14ac:dyDescent="0.2">
      <c r="A20" s="5">
        <f ca="1">IFERROR(DAY(B20),"")</f>
        <v>10</v>
      </c>
      <c r="B20" s="11">
        <f ca="1">IF(D20&gt;$B$17,"",OFFSET('Ввод данных'!$B$14,$B$16-1+D20-1,))</f>
        <v>41588</v>
      </c>
      <c r="D20" s="5">
        <v>1</v>
      </c>
      <c r="E20" s="11" t="str">
        <f ca="1">IF(OFFSET($A$20,COUNT($E$19:E19),,)=D20,OFFSET($B$20,COUNT($E$19:E19),,),"")</f>
        <v/>
      </c>
      <c r="F20" s="21" t="str">
        <f ca="1">IFERROR(VLOOKUP(E20,Таблица1[[Дата]:[План]],2,FALSE),"")</f>
        <v/>
      </c>
      <c r="G20" s="21" t="str">
        <f ca="1">IFERROR(VLOOKUP(E20,Таблица1[[Дата]:[Факт]],3,FALSE),"")</f>
        <v/>
      </c>
      <c r="H20" s="8" t="str">
        <f ca="1">IFERROR(IF(G20,(-F20+G20)/F20,""),"")</f>
        <v/>
      </c>
    </row>
    <row r="21" spans="1:9" x14ac:dyDescent="0.2">
      <c r="A21" s="5">
        <f t="shared" ref="A21:A50" ca="1" si="0">IFERROR(DAY(B21),"")</f>
        <v>11</v>
      </c>
      <c r="B21" s="11">
        <f ca="1">IF(D21&gt;$B$17,"",OFFSET('Ввод данных'!$B$14,$B$16-1+D21-1,))</f>
        <v>41589</v>
      </c>
      <c r="D21" s="5">
        <v>2</v>
      </c>
      <c r="E21" s="11" t="str">
        <f ca="1">IF(OFFSET($A$20,COUNT($E$19:E20),,)=D21,OFFSET($B$20,COUNT($E$19:E20),,),"")</f>
        <v/>
      </c>
      <c r="F21" s="21" t="str">
        <f ca="1">IFERROR(VLOOKUP(E21,Таблица1[[Дата]:[План]],2,FALSE),"")</f>
        <v/>
      </c>
      <c r="G21" s="21" t="str">
        <f ca="1">IFERROR(VLOOKUP(E21,Таблица1[[Дата]:[Факт]],3,FALSE),"")</f>
        <v/>
      </c>
      <c r="H21" s="8" t="str">
        <f t="shared" ref="H21:H50" ca="1" si="1">IFERROR(IF(G21,(-F21+G21)/F21,""),"")</f>
        <v/>
      </c>
    </row>
    <row r="22" spans="1:9" x14ac:dyDescent="0.2">
      <c r="A22" s="5">
        <f t="shared" ca="1" si="0"/>
        <v>12</v>
      </c>
      <c r="B22" s="11">
        <f ca="1">IF(D22&gt;$B$17,"",OFFSET('Ввод данных'!$B$14,$B$16-1+D22-1,))</f>
        <v>41590</v>
      </c>
      <c r="D22" s="5">
        <v>3</v>
      </c>
      <c r="E22" s="11" t="str">
        <f ca="1">IF(OFFSET($A$20,COUNT($E$19:E21),,)=D22,OFFSET($B$20,COUNT($E$19:E21),,),"")</f>
        <v/>
      </c>
      <c r="F22" s="21" t="str">
        <f ca="1">IFERROR(VLOOKUP(E22,Таблица1[[Дата]:[План]],2,FALSE),"")</f>
        <v/>
      </c>
      <c r="G22" s="21" t="str">
        <f ca="1">IFERROR(VLOOKUP(E22,Таблица1[[Дата]:[Факт]],3,FALSE),"")</f>
        <v/>
      </c>
      <c r="H22" s="8" t="str">
        <f t="shared" ca="1" si="1"/>
        <v/>
      </c>
    </row>
    <row r="23" spans="1:9" x14ac:dyDescent="0.2">
      <c r="A23" s="5">
        <f t="shared" ca="1" si="0"/>
        <v>13</v>
      </c>
      <c r="B23" s="11">
        <f ca="1">IF(D23&gt;$B$17,"",OFFSET('Ввод данных'!$B$14,$B$16-1+D23-1,))</f>
        <v>41591</v>
      </c>
      <c r="D23" s="5">
        <v>4</v>
      </c>
      <c r="E23" s="11" t="str">
        <f ca="1">IF(OFFSET($A$20,COUNT($E$19:E22),,)=D23,OFFSET($B$20,COUNT($E$19:E22),,),"")</f>
        <v/>
      </c>
      <c r="F23" s="21" t="str">
        <f ca="1">IFERROR(VLOOKUP(E23,Таблица1[[Дата]:[План]],2,FALSE),"")</f>
        <v/>
      </c>
      <c r="G23" s="21" t="str">
        <f ca="1">IFERROR(VLOOKUP(E23,Таблица1[[Дата]:[Факт]],3,FALSE),"")</f>
        <v/>
      </c>
      <c r="H23" s="8" t="str">
        <f t="shared" ca="1" si="1"/>
        <v/>
      </c>
    </row>
    <row r="24" spans="1:9" x14ac:dyDescent="0.2">
      <c r="A24" s="5">
        <f t="shared" ca="1" si="0"/>
        <v>14</v>
      </c>
      <c r="B24" s="11">
        <f ca="1">IF(D24&gt;$B$17,"",OFFSET('Ввод данных'!$B$14,$B$16-1+D24-1,))</f>
        <v>41592</v>
      </c>
      <c r="D24" s="5">
        <v>5</v>
      </c>
      <c r="E24" s="11" t="str">
        <f ca="1">IF(OFFSET($A$20,COUNT($E$19:E23),,)=D24,OFFSET($B$20,COUNT($E$19:E23),,),"")</f>
        <v/>
      </c>
      <c r="F24" s="21" t="str">
        <f ca="1">IFERROR(VLOOKUP(E24,Таблица1[[Дата]:[План]],2,FALSE),"")</f>
        <v/>
      </c>
      <c r="G24" s="21" t="str">
        <f ca="1">IFERROR(VLOOKUP(E24,Таблица1[[Дата]:[Факт]],3,FALSE),"")</f>
        <v/>
      </c>
      <c r="H24" s="8" t="str">
        <f t="shared" ca="1" si="1"/>
        <v/>
      </c>
    </row>
    <row r="25" spans="1:9" x14ac:dyDescent="0.2">
      <c r="A25" s="5">
        <f t="shared" ca="1" si="0"/>
        <v>15</v>
      </c>
      <c r="B25" s="11">
        <f ca="1">IF(D25&gt;$B$17,"",OFFSET('Ввод данных'!$B$14,$B$16-1+D25-1,))</f>
        <v>41593</v>
      </c>
      <c r="D25" s="5">
        <v>6</v>
      </c>
      <c r="E25" s="11" t="str">
        <f ca="1">IF(OFFSET($A$20,COUNT($E$19:E24),,)=D25,OFFSET($B$20,COUNT($E$19:E24),,),"")</f>
        <v/>
      </c>
      <c r="F25" s="21" t="str">
        <f ca="1">IFERROR(VLOOKUP(E25,Таблица1[[Дата]:[План]],2,FALSE),"")</f>
        <v/>
      </c>
      <c r="G25" s="21" t="str">
        <f ca="1">IFERROR(VLOOKUP(E25,Таблица1[[Дата]:[Факт]],3,FALSE),"")</f>
        <v/>
      </c>
      <c r="H25" s="8" t="str">
        <f t="shared" ca="1" si="1"/>
        <v/>
      </c>
    </row>
    <row r="26" spans="1:9" x14ac:dyDescent="0.2">
      <c r="A26" s="5">
        <f t="shared" ca="1" si="0"/>
        <v>20</v>
      </c>
      <c r="B26" s="11">
        <f ca="1">IF(D26&gt;$B$17,"",OFFSET('Ввод данных'!$B$14,$B$16-1+D26-1,))</f>
        <v>41598</v>
      </c>
      <c r="D26" s="5">
        <v>7</v>
      </c>
      <c r="E26" s="11" t="str">
        <f ca="1">IF(OFFSET($A$20,COUNT($E$19:E25),,)=D26,OFFSET($B$20,COUNT($E$19:E25),,),"")</f>
        <v/>
      </c>
      <c r="F26" s="21" t="str">
        <f ca="1">IFERROR(VLOOKUP(E26,Таблица1[[Дата]:[План]],2,FALSE),"")</f>
        <v/>
      </c>
      <c r="G26" s="21" t="str">
        <f ca="1">IFERROR(VLOOKUP(E26,Таблица1[[Дата]:[Факт]],3,FALSE),"")</f>
        <v/>
      </c>
      <c r="H26" s="8" t="str">
        <f t="shared" ca="1" si="1"/>
        <v/>
      </c>
    </row>
    <row r="27" spans="1:9" x14ac:dyDescent="0.2">
      <c r="A27" s="5">
        <f t="shared" ca="1" si="0"/>
        <v>23</v>
      </c>
      <c r="B27" s="11">
        <f ca="1">IF(D27&gt;$B$17,"",OFFSET('Ввод данных'!$B$14,$B$16-1+D27-1,))</f>
        <v>41601</v>
      </c>
      <c r="D27" s="5">
        <v>8</v>
      </c>
      <c r="E27" s="11" t="str">
        <f ca="1">IF(OFFSET($A$20,COUNT($E$19:E26),,)=D27,OFFSET($B$20,COUNT($E$19:E26),,),"")</f>
        <v/>
      </c>
      <c r="F27" s="21" t="str">
        <f ca="1">IFERROR(VLOOKUP(E27,Таблица1[[Дата]:[План]],2,FALSE),"")</f>
        <v/>
      </c>
      <c r="G27" s="21" t="str">
        <f ca="1">IFERROR(VLOOKUP(E27,Таблица1[[Дата]:[Факт]],3,FALSE),"")</f>
        <v/>
      </c>
      <c r="H27" s="8" t="str">
        <f t="shared" ca="1" si="1"/>
        <v/>
      </c>
    </row>
    <row r="28" spans="1:9" x14ac:dyDescent="0.2">
      <c r="A28" s="5">
        <f t="shared" ca="1" si="0"/>
        <v>24</v>
      </c>
      <c r="B28" s="11">
        <f ca="1">IF(D28&gt;$B$17,"",OFFSET('Ввод данных'!$B$14,$B$16-1+D28-1,))</f>
        <v>41602</v>
      </c>
      <c r="D28" s="5">
        <v>9</v>
      </c>
      <c r="E28" s="11" t="str">
        <f ca="1">IF(OFFSET($A$20,COUNT($E$19:E27),,)=D28,OFFSET($B$20,COUNT($E$19:E27),,),"")</f>
        <v/>
      </c>
      <c r="F28" s="21" t="str">
        <f ca="1">IFERROR(VLOOKUP(E28,Таблица1[[Дата]:[План]],2,FALSE),"")</f>
        <v/>
      </c>
      <c r="G28" s="21" t="str">
        <f ca="1">IFERROR(VLOOKUP(E28,Таблица1[[Дата]:[Факт]],3,FALSE),"")</f>
        <v/>
      </c>
      <c r="H28" s="8" t="str">
        <f t="shared" ca="1" si="1"/>
        <v/>
      </c>
    </row>
    <row r="29" spans="1:9" x14ac:dyDescent="0.2">
      <c r="A29" s="5">
        <f t="shared" ca="1" si="0"/>
        <v>25</v>
      </c>
      <c r="B29" s="11">
        <f ca="1">IF(D29&gt;$B$17,"",OFFSET('Ввод данных'!$B$14,$B$16-1+D29-1,))</f>
        <v>41603</v>
      </c>
      <c r="D29" s="5">
        <v>10</v>
      </c>
      <c r="E29" s="11">
        <f ca="1">IF(OFFSET($A$20,COUNT($E$19:E28),,)=D29,OFFSET($B$20,COUNT($E$19:E28),,),"")</f>
        <v>41588</v>
      </c>
      <c r="F29" s="21">
        <f ca="1">IFERROR(VLOOKUP(E29,Таблица1[[Дата]:[План]],2,FALSE),"")</f>
        <v>28800</v>
      </c>
      <c r="G29" s="21">
        <f ca="1">IFERROR(VLOOKUP(E29,Таблица1[[Дата]:[Факт]],3,FALSE),"")</f>
        <v>37440</v>
      </c>
      <c r="H29" s="8">
        <f t="shared" ca="1" si="1"/>
        <v>0.3</v>
      </c>
    </row>
    <row r="30" spans="1:9" x14ac:dyDescent="0.2">
      <c r="A30" s="5">
        <f t="shared" ca="1" si="0"/>
        <v>26</v>
      </c>
      <c r="B30" s="11">
        <f ca="1">IF(D30&gt;$B$17,"",OFFSET('Ввод данных'!$B$14,$B$16-1+D30-1,))</f>
        <v>41604</v>
      </c>
      <c r="D30" s="5">
        <v>11</v>
      </c>
      <c r="E30" s="11">
        <f ca="1">IF(OFFSET($A$20,COUNT($E$19:E29),,)=D30,OFFSET($B$20,COUNT($E$19:E29),,),"")</f>
        <v>41589</v>
      </c>
      <c r="F30" s="21">
        <f ca="1">IFERROR(VLOOKUP(E30,Таблица1[[Дата]:[План]],2,FALSE),"")</f>
        <v>11222</v>
      </c>
      <c r="G30" s="21">
        <f ca="1">IFERROR(VLOOKUP(E30,Таблица1[[Дата]:[Факт]],3,FALSE),"")</f>
        <v>11111</v>
      </c>
      <c r="H30" s="8">
        <f t="shared" ca="1" si="1"/>
        <v>-9.8912849759401171E-3</v>
      </c>
    </row>
    <row r="31" spans="1:9" x14ac:dyDescent="0.2">
      <c r="A31" s="5">
        <f t="shared" ca="1" si="0"/>
        <v>27</v>
      </c>
      <c r="B31" s="11">
        <f ca="1">IF(D31&gt;$B$17,"",OFFSET('Ввод данных'!$B$14,$B$16-1+D31-1,))</f>
        <v>41605</v>
      </c>
      <c r="D31" s="5">
        <v>12</v>
      </c>
      <c r="E31" s="11">
        <f ca="1">IF(OFFSET($A$20,COUNT($E$19:E30),,)=D31,OFFSET($B$20,COUNT($E$19:E30),,),"")</f>
        <v>41590</v>
      </c>
      <c r="F31" s="21">
        <f ca="1">IFERROR(VLOOKUP(E31,Таблица1[[Дата]:[План]],2,FALSE),"")</f>
        <v>24000</v>
      </c>
      <c r="G31" s="21">
        <f ca="1">IFERROR(VLOOKUP(E31,Таблица1[[Дата]:[Факт]],3,FALSE),"")</f>
        <v>26400</v>
      </c>
      <c r="H31" s="8">
        <f t="shared" ca="1" si="1"/>
        <v>0.1</v>
      </c>
    </row>
    <row r="32" spans="1:9" x14ac:dyDescent="0.2">
      <c r="A32" s="5">
        <f t="shared" ca="1" si="0"/>
        <v>28</v>
      </c>
      <c r="B32" s="11">
        <f ca="1">IF(D32&gt;$B$17,"",OFFSET('Ввод данных'!$B$14,$B$16-1+D32-1,))</f>
        <v>41606</v>
      </c>
      <c r="D32" s="5">
        <v>13</v>
      </c>
      <c r="E32" s="11">
        <f ca="1">IF(OFFSET($A$20,COUNT($E$19:E31),,)=D32,OFFSET($B$20,COUNT($E$19:E31),,),"")</f>
        <v>41591</v>
      </c>
      <c r="F32" s="21">
        <f ca="1">IFERROR(VLOOKUP(E32,Таблица1[[Дата]:[План]],2,FALSE),"")</f>
        <v>24000</v>
      </c>
      <c r="G32" s="21">
        <f ca="1">IFERROR(VLOOKUP(E32,Таблица1[[Дата]:[Факт]],3,FALSE),"")</f>
        <v>31200</v>
      </c>
      <c r="H32" s="8">
        <f t="shared" ca="1" si="1"/>
        <v>0.3</v>
      </c>
    </row>
    <row r="33" spans="1:8" x14ac:dyDescent="0.2">
      <c r="A33" s="5">
        <f t="shared" ca="1" si="0"/>
        <v>29</v>
      </c>
      <c r="B33" s="11">
        <f ca="1">IF(D33&gt;$B$17,"",OFFSET('Ввод данных'!$B$14,$B$16-1+D33-1,))</f>
        <v>41607</v>
      </c>
      <c r="D33" s="5">
        <v>14</v>
      </c>
      <c r="E33" s="11">
        <f ca="1">IF(OFFSET($A$20,COUNT($E$19:E32),,)=D33,OFFSET($B$20,COUNT($E$19:E32),,),"")</f>
        <v>41592</v>
      </c>
      <c r="F33" s="21">
        <f ca="1">IFERROR(VLOOKUP(E33,Таблица1[[Дата]:[План]],2,FALSE),"")</f>
        <v>24000</v>
      </c>
      <c r="G33" s="21">
        <f ca="1">IFERROR(VLOOKUP(E33,Таблица1[[Дата]:[Факт]],3,FALSE),"")</f>
        <v>21600</v>
      </c>
      <c r="H33" s="8">
        <f t="shared" ca="1" si="1"/>
        <v>-0.1</v>
      </c>
    </row>
    <row r="34" spans="1:8" x14ac:dyDescent="0.2">
      <c r="A34" s="5">
        <f t="shared" ca="1" si="0"/>
        <v>30</v>
      </c>
      <c r="B34" s="11">
        <f ca="1">IF(D34&gt;$B$17,"",OFFSET('Ввод данных'!$B$14,$B$16-1+D34-1,))</f>
        <v>41608</v>
      </c>
      <c r="D34" s="5">
        <v>15</v>
      </c>
      <c r="E34" s="11">
        <f ca="1">IF(OFFSET($A$20,COUNT($E$19:E33),,)=D34,OFFSET($B$20,COUNT($E$19:E33),,),"")</f>
        <v>41593</v>
      </c>
      <c r="F34" s="21">
        <f ca="1">IFERROR(VLOOKUP(E34,Таблица1[[Дата]:[План]],2,FALSE),"")</f>
        <v>24000</v>
      </c>
      <c r="G34" s="21">
        <f ca="1">IFERROR(VLOOKUP(E34,Таблица1[[Дата]:[Факт]],3,FALSE),"")</f>
        <v>24000</v>
      </c>
      <c r="H34" s="8">
        <f t="shared" ca="1" si="1"/>
        <v>0</v>
      </c>
    </row>
    <row r="35" spans="1:8" x14ac:dyDescent="0.2">
      <c r="A35" s="5" t="str">
        <f t="shared" ca="1" si="0"/>
        <v/>
      </c>
      <c r="B35" s="11" t="str">
        <f ca="1">IF(D35&gt;$B$17,"",OFFSET('Ввод данных'!$B$14,$B$16-1+D35-1,))</f>
        <v/>
      </c>
      <c r="D35" s="5">
        <v>16</v>
      </c>
      <c r="E35" s="11" t="str">
        <f ca="1">IF(OFFSET($A$20,COUNT($E$19:E34),,)=D35,OFFSET($B$20,COUNT($E$19:E34),,),"")</f>
        <v/>
      </c>
      <c r="F35" s="21" t="str">
        <f ca="1">IFERROR(VLOOKUP(E35,Таблица1[[Дата]:[План]],2,FALSE),"")</f>
        <v/>
      </c>
      <c r="G35" s="21" t="str">
        <f ca="1">IFERROR(VLOOKUP(E35,Таблица1[[Дата]:[Факт]],3,FALSE),"")</f>
        <v/>
      </c>
      <c r="H35" s="8" t="str">
        <f t="shared" ca="1" si="1"/>
        <v/>
      </c>
    </row>
    <row r="36" spans="1:8" x14ac:dyDescent="0.2">
      <c r="A36" s="5" t="str">
        <f t="shared" ca="1" si="0"/>
        <v/>
      </c>
      <c r="B36" s="11" t="str">
        <f ca="1">IF(D36&gt;$B$17,"",OFFSET('Ввод данных'!$B$14,$B$16-1+D36-1,))</f>
        <v/>
      </c>
      <c r="D36" s="5">
        <v>17</v>
      </c>
      <c r="E36" s="11" t="str">
        <f ca="1">IF(OFFSET($A$20,COUNT($E$19:E35),,)=D36,OFFSET($B$20,COUNT($E$19:E35),,),"")</f>
        <v/>
      </c>
      <c r="F36" s="21" t="str">
        <f ca="1">IFERROR(VLOOKUP(E36,Таблица1[[Дата]:[План]],2,FALSE),"")</f>
        <v/>
      </c>
      <c r="G36" s="21" t="str">
        <f ca="1">IFERROR(VLOOKUP(E36,Таблица1[[Дата]:[Факт]],3,FALSE),"")</f>
        <v/>
      </c>
      <c r="H36" s="8" t="str">
        <f t="shared" ca="1" si="1"/>
        <v/>
      </c>
    </row>
    <row r="37" spans="1:8" x14ac:dyDescent="0.2">
      <c r="A37" s="5" t="str">
        <f t="shared" ca="1" si="0"/>
        <v/>
      </c>
      <c r="B37" s="11" t="str">
        <f ca="1">IF(D37&gt;$B$17,"",OFFSET('Ввод данных'!$B$14,$B$16-1+D37-1,))</f>
        <v/>
      </c>
      <c r="D37" s="5">
        <v>18</v>
      </c>
      <c r="E37" s="11" t="str">
        <f ca="1">IF(OFFSET($A$20,COUNT($E$19:E36),,)=D37,OFFSET($B$20,COUNT($E$19:E36),,),"")</f>
        <v/>
      </c>
      <c r="F37" s="21" t="str">
        <f ca="1">IFERROR(VLOOKUP(E37,Таблица1[[Дата]:[План]],2,FALSE),"")</f>
        <v/>
      </c>
      <c r="G37" s="21" t="str">
        <f ca="1">IFERROR(VLOOKUP(E37,Таблица1[[Дата]:[Факт]],3,FALSE),"")</f>
        <v/>
      </c>
      <c r="H37" s="8" t="str">
        <f t="shared" ca="1" si="1"/>
        <v/>
      </c>
    </row>
    <row r="38" spans="1:8" x14ac:dyDescent="0.2">
      <c r="A38" s="5" t="str">
        <f t="shared" ca="1" si="0"/>
        <v/>
      </c>
      <c r="B38" s="11" t="str">
        <f ca="1">IF(D38&gt;$B$17,"",OFFSET('Ввод данных'!$B$14,$B$16-1+D38-1,))</f>
        <v/>
      </c>
      <c r="D38" s="5">
        <v>19</v>
      </c>
      <c r="E38" s="11" t="str">
        <f ca="1">IF(OFFSET($A$20,COUNT($E$19:E37),,)=D38,OFFSET($B$20,COUNT($E$19:E37),,),"")</f>
        <v/>
      </c>
      <c r="F38" s="21" t="str">
        <f ca="1">IFERROR(VLOOKUP(E38,Таблица1[[Дата]:[План]],2,FALSE),"")</f>
        <v/>
      </c>
      <c r="G38" s="21" t="str">
        <f ca="1">IFERROR(VLOOKUP(E38,Таблица1[[Дата]:[Факт]],3,FALSE),"")</f>
        <v/>
      </c>
      <c r="H38" s="8" t="str">
        <f t="shared" ca="1" si="1"/>
        <v/>
      </c>
    </row>
    <row r="39" spans="1:8" x14ac:dyDescent="0.2">
      <c r="A39" s="5" t="str">
        <f t="shared" ca="1" si="0"/>
        <v/>
      </c>
      <c r="B39" s="11" t="str">
        <f ca="1">IF(D39&gt;$B$17,"",OFFSET('Ввод данных'!$B$14,$B$16-1+D39-1,))</f>
        <v/>
      </c>
      <c r="D39" s="5">
        <v>20</v>
      </c>
      <c r="E39" s="11">
        <f ca="1">IF(OFFSET($A$20,COUNT($E$19:E38),,)=D39,OFFSET($B$20,COUNT($E$19:E38),,),"")</f>
        <v>41598</v>
      </c>
      <c r="F39" s="21">
        <f ca="1">IFERROR(VLOOKUP(E39,Таблица1[[Дата]:[План]],2,FALSE),"")</f>
        <v>24000</v>
      </c>
      <c r="G39" s="21">
        <f ca="1">IFERROR(VLOOKUP(E39,Таблица1[[Дата]:[Факт]],3,FALSE),"")</f>
        <v>24000</v>
      </c>
      <c r="H39" s="8">
        <f t="shared" ca="1" si="1"/>
        <v>0</v>
      </c>
    </row>
    <row r="40" spans="1:8" x14ac:dyDescent="0.2">
      <c r="A40" s="5" t="str">
        <f t="shared" ca="1" si="0"/>
        <v/>
      </c>
      <c r="B40" s="11" t="str">
        <f ca="1">IF(D40&gt;$B$17,"",OFFSET('Ввод данных'!$B$14,$B$16-1+D40-1,))</f>
        <v/>
      </c>
      <c r="D40" s="5">
        <v>21</v>
      </c>
      <c r="E40" s="11" t="str">
        <f ca="1">IF(OFFSET($A$20,COUNT($E$19:E39),,)=D40,OFFSET($B$20,COUNT($E$19:E39),,),"")</f>
        <v/>
      </c>
      <c r="F40" s="21" t="str">
        <f ca="1">IFERROR(VLOOKUP(E40,Таблица1[[Дата]:[План]],2,FALSE),"")</f>
        <v/>
      </c>
      <c r="G40" s="21" t="str">
        <f ca="1">IFERROR(VLOOKUP(E40,Таблица1[[Дата]:[Факт]],3,FALSE),"")</f>
        <v/>
      </c>
      <c r="H40" s="8" t="str">
        <f t="shared" ca="1" si="1"/>
        <v/>
      </c>
    </row>
    <row r="41" spans="1:8" x14ac:dyDescent="0.2">
      <c r="A41" s="5" t="str">
        <f t="shared" ca="1" si="0"/>
        <v/>
      </c>
      <c r="B41" s="11" t="str">
        <f ca="1">IF(D41&gt;$B$17,"",OFFSET('Ввод данных'!$B$14,$B$16-1+D41-1,))</f>
        <v/>
      </c>
      <c r="D41" s="5">
        <v>22</v>
      </c>
      <c r="E41" s="11" t="str">
        <f ca="1">IF(OFFSET($A$20,COUNT($E$19:E40),,)=D41,OFFSET($B$20,COUNT($E$19:E40),,),"")</f>
        <v/>
      </c>
      <c r="F41" s="21" t="str">
        <f ca="1">IFERROR(VLOOKUP(E41,Таблица1[[Дата]:[План]],2,FALSE),"")</f>
        <v/>
      </c>
      <c r="G41" s="21" t="str">
        <f ca="1">IFERROR(VLOOKUP(E41,Таблица1[[Дата]:[Факт]],3,FALSE),"")</f>
        <v/>
      </c>
      <c r="H41" s="8" t="str">
        <f t="shared" ca="1" si="1"/>
        <v/>
      </c>
    </row>
    <row r="42" spans="1:8" x14ac:dyDescent="0.2">
      <c r="A42" s="5" t="str">
        <f t="shared" ca="1" si="0"/>
        <v/>
      </c>
      <c r="B42" s="11" t="str">
        <f ca="1">IF(D42&gt;$B$17,"",OFFSET('Ввод данных'!$B$14,$B$16-1+D42-1,))</f>
        <v/>
      </c>
      <c r="D42" s="5">
        <v>23</v>
      </c>
      <c r="E42" s="11">
        <f ca="1">IF(OFFSET($A$20,COUNT($E$19:E41),,)=D42,OFFSET($B$20,COUNT($E$19:E41),,),"")</f>
        <v>41601</v>
      </c>
      <c r="F42" s="21">
        <f ca="1">IFERROR(VLOOKUP(E42,Таблица1[[Дата]:[План]],2,FALSE),"")</f>
        <v>24000</v>
      </c>
      <c r="G42" s="21">
        <f ca="1">IFERROR(VLOOKUP(E42,Таблица1[[Дата]:[Факт]],3,FALSE),"")</f>
        <v>28800</v>
      </c>
      <c r="H42" s="8">
        <f t="shared" ca="1" si="1"/>
        <v>0.2</v>
      </c>
    </row>
    <row r="43" spans="1:8" x14ac:dyDescent="0.2">
      <c r="A43" s="5" t="str">
        <f t="shared" ca="1" si="0"/>
        <v/>
      </c>
      <c r="B43" s="11" t="str">
        <f ca="1">IF(D43&gt;$B$17,"",OFFSET('Ввод данных'!$B$14,$B$16-1+D43-1,))</f>
        <v/>
      </c>
      <c r="D43" s="5">
        <v>24</v>
      </c>
      <c r="E43" s="11">
        <f ca="1">IF(OFFSET($A$20,COUNT($E$19:E42),,)=D43,OFFSET($B$20,COUNT($E$19:E42),,),"")</f>
        <v>41602</v>
      </c>
      <c r="F43" s="21">
        <f ca="1">IFERROR(VLOOKUP(E43,Таблица1[[Дата]:[План]],2,FALSE),"")</f>
        <v>24000</v>
      </c>
      <c r="G43" s="21">
        <f ca="1">IFERROR(VLOOKUP(E43,Таблица1[[Дата]:[Факт]],3,FALSE),"")</f>
        <v>14400</v>
      </c>
      <c r="H43" s="8">
        <f t="shared" ca="1" si="1"/>
        <v>-0.4</v>
      </c>
    </row>
    <row r="44" spans="1:8" x14ac:dyDescent="0.2">
      <c r="A44" s="5" t="str">
        <f t="shared" ca="1" si="0"/>
        <v/>
      </c>
      <c r="B44" s="11" t="str">
        <f ca="1">IF(D44&gt;$B$17,"",OFFSET('Ввод данных'!$B$14,$B$16-1+D44-1,))</f>
        <v/>
      </c>
      <c r="D44" s="5">
        <v>25</v>
      </c>
      <c r="E44" s="11">
        <f ca="1">IF(OFFSET($A$20,COUNT($E$19:E43),,)=D44,OFFSET($B$20,COUNT($E$19:E43),,),"")</f>
        <v>41603</v>
      </c>
      <c r="F44" s="21">
        <f ca="1">IFERROR(VLOOKUP(E44,Таблица1[[Дата]:[План]],2,FALSE),"")</f>
        <v>28800</v>
      </c>
      <c r="G44" s="21">
        <f ca="1">IFERROR(VLOOKUP(E44,Таблица1[[Дата]:[Факт]],3,FALSE),"")</f>
        <v>23040</v>
      </c>
      <c r="H44" s="8">
        <f t="shared" ca="1" si="1"/>
        <v>-0.2</v>
      </c>
    </row>
    <row r="45" spans="1:8" x14ac:dyDescent="0.2">
      <c r="A45" s="5" t="str">
        <f t="shared" ca="1" si="0"/>
        <v/>
      </c>
      <c r="B45" s="11" t="str">
        <f ca="1">IF(D45&gt;$B$17,"",OFFSET('Ввод данных'!$B$14,$B$16-1+D45-1,))</f>
        <v/>
      </c>
      <c r="D45" s="5">
        <v>26</v>
      </c>
      <c r="E45" s="11">
        <f ca="1">IF(OFFSET($A$20,COUNT($E$19:E44),,)=D45,OFFSET($B$20,COUNT($E$19:E44),,),"")</f>
        <v>41604</v>
      </c>
      <c r="F45" s="21">
        <f ca="1">IFERROR(VLOOKUP(E45,Таблица1[[Дата]:[План]],2,FALSE),"")</f>
        <v>28800</v>
      </c>
      <c r="G45" s="21">
        <f ca="1">IFERROR(VLOOKUP(E45,Таблица1[[Дата]:[Факт]],3,FALSE),"")</f>
        <v>20160</v>
      </c>
      <c r="H45" s="8">
        <f t="shared" ca="1" si="1"/>
        <v>-0.3</v>
      </c>
    </row>
    <row r="46" spans="1:8" x14ac:dyDescent="0.2">
      <c r="A46" s="5" t="str">
        <f t="shared" ca="1" si="0"/>
        <v/>
      </c>
      <c r="B46" s="11" t="str">
        <f ca="1">IF(D46&gt;$B$17,"",OFFSET('Ввод данных'!$B$14,$B$16-1+D46-1,))</f>
        <v/>
      </c>
      <c r="D46" s="5">
        <v>27</v>
      </c>
      <c r="E46" s="11">
        <f ca="1">IF(OFFSET($A$20,COUNT($E$19:E45),,)=D46,OFFSET($B$20,COUNT($E$19:E45),,),"")</f>
        <v>41605</v>
      </c>
      <c r="F46" s="21">
        <f ca="1">IFERROR(VLOOKUP(E46,Таблица1[[Дата]:[План]],2,FALSE),"")</f>
        <v>28800</v>
      </c>
      <c r="G46" s="21">
        <f ca="1">IFERROR(VLOOKUP(E46,Таблица1[[Дата]:[Факт]],3,FALSE),"")</f>
        <v>25920</v>
      </c>
      <c r="H46" s="8">
        <f t="shared" ca="1" si="1"/>
        <v>-0.1</v>
      </c>
    </row>
    <row r="47" spans="1:8" x14ac:dyDescent="0.2">
      <c r="A47" s="5" t="str">
        <f t="shared" ca="1" si="0"/>
        <v/>
      </c>
      <c r="B47" s="11" t="str">
        <f ca="1">IF(D47&gt;$B$17,"",OFFSET('Ввод данных'!$B$14,$B$16-1+D47-1,))</f>
        <v/>
      </c>
      <c r="D47" s="5">
        <v>28</v>
      </c>
      <c r="E47" s="11">
        <f ca="1">IF(OFFSET($A$20,COUNT($E$19:E46),,)=D47,OFFSET($B$20,COUNT($E$19:E46),,),"")</f>
        <v>41606</v>
      </c>
      <c r="F47" s="21">
        <f ca="1">IFERROR(VLOOKUP(E47,Таблица1[[Дата]:[План]],2,FALSE),"")</f>
        <v>28800</v>
      </c>
      <c r="G47" s="21">
        <f ca="1">IFERROR(VLOOKUP(E47,Таблица1[[Дата]:[Факт]],3,FALSE),"")</f>
        <v>28800</v>
      </c>
      <c r="H47" s="8">
        <f t="shared" ca="1" si="1"/>
        <v>0</v>
      </c>
    </row>
    <row r="48" spans="1:8" x14ac:dyDescent="0.2">
      <c r="A48" s="5" t="str">
        <f t="shared" ca="1" si="0"/>
        <v/>
      </c>
      <c r="B48" s="11" t="str">
        <f ca="1">IF(D48&gt;$B$17,"",OFFSET('Ввод данных'!$B$14,$B$16-1+D48-1,))</f>
        <v/>
      </c>
      <c r="D48" s="5">
        <v>29</v>
      </c>
      <c r="E48" s="11">
        <f ca="1">IF(OFFSET($A$20,COUNT($E$19:E47),,)=D48,OFFSET($B$20,COUNT($E$19:E47),,),"")</f>
        <v>41607</v>
      </c>
      <c r="F48" s="21">
        <f ca="1">IFERROR(VLOOKUP(E48,Таблица1[[Дата]:[План]],2,FALSE),"")</f>
        <v>28800</v>
      </c>
      <c r="G48" s="21">
        <f ca="1">IFERROR(VLOOKUP(E48,Таблица1[[Дата]:[Факт]],3,FALSE),"")</f>
        <v>34560</v>
      </c>
      <c r="H48" s="8">
        <f t="shared" ca="1" si="1"/>
        <v>0.2</v>
      </c>
    </row>
    <row r="49" spans="1:9" x14ac:dyDescent="0.2">
      <c r="A49" s="5" t="str">
        <f t="shared" ca="1" si="0"/>
        <v/>
      </c>
      <c r="B49" s="11" t="str">
        <f ca="1">IF(D49&gt;$B$17,"",OFFSET('Ввод данных'!$B$14,$B$16-1+D49-1,))</f>
        <v/>
      </c>
      <c r="D49" s="5">
        <v>30</v>
      </c>
      <c r="E49" s="11">
        <f ca="1">IF(OFFSET($A$20,COUNT($E$19:E48),,)=D49,OFFSET($B$20,COUNT($E$19:E48),,),"")</f>
        <v>41608</v>
      </c>
      <c r="F49" s="21">
        <f ca="1">IFERROR(VLOOKUP(E49,Таблица1[[Дата]:[План]],2,FALSE),"")</f>
        <v>28800</v>
      </c>
      <c r="G49" s="21">
        <f ca="1">IFERROR(VLOOKUP(E49,Таблица1[[Дата]:[Факт]],3,FALSE),"")</f>
        <v>14400</v>
      </c>
      <c r="H49" s="8">
        <f t="shared" ca="1" si="1"/>
        <v>-0.5</v>
      </c>
    </row>
    <row r="50" spans="1:9" x14ac:dyDescent="0.2">
      <c r="A50" s="5" t="str">
        <f t="shared" ca="1" si="0"/>
        <v/>
      </c>
      <c r="B50" s="11" t="str">
        <f ca="1">IF(D50&gt;$B$17,"",OFFSET('Ввод данных'!$B$14,$B$16-1+D50-1,))</f>
        <v/>
      </c>
      <c r="D50" s="5">
        <v>31</v>
      </c>
      <c r="E50" s="11" t="str">
        <f ca="1">IF(OFFSET($A$20,COUNT($E$19:E49),,)=D50,OFFSET($B$20,COUNT($E$19:E49),,),"")</f>
        <v/>
      </c>
      <c r="F50" s="21" t="str">
        <f ca="1">IFERROR(VLOOKUP(E50,Таблица1[[Дата]:[План]],2,FALSE),"")</f>
        <v/>
      </c>
      <c r="G50" s="21" t="str">
        <f ca="1">IFERROR(VLOOKUP(E50,Таблица1[[Дата]:[Факт]],3,FALSE),"")</f>
        <v/>
      </c>
      <c r="H50" s="8" t="str">
        <f t="shared" ca="1" si="1"/>
        <v/>
      </c>
    </row>
    <row r="51" spans="1:9" x14ac:dyDescent="0.2">
      <c r="A51" s="4"/>
      <c r="I51" s="2"/>
    </row>
    <row r="52" spans="1:9" x14ac:dyDescent="0.2">
      <c r="A52" s="4"/>
    </row>
    <row r="53" spans="1:9" x14ac:dyDescent="0.2">
      <c r="A53" s="4"/>
    </row>
    <row r="54" spans="1:9" x14ac:dyDescent="0.2">
      <c r="A54" s="4"/>
    </row>
    <row r="55" spans="1:9" x14ac:dyDescent="0.2">
      <c r="A55" s="4"/>
    </row>
    <row r="56" spans="1:9" x14ac:dyDescent="0.2">
      <c r="A56" s="4"/>
    </row>
    <row r="57" spans="1:9" x14ac:dyDescent="0.2">
      <c r="A57" s="4"/>
    </row>
    <row r="58" spans="1:9" x14ac:dyDescent="0.2">
      <c r="A58" s="4"/>
    </row>
    <row r="59" spans="1:9" x14ac:dyDescent="0.2">
      <c r="A59" s="4"/>
    </row>
    <row r="60" spans="1:9" x14ac:dyDescent="0.2">
      <c r="A60" s="4"/>
    </row>
    <row r="61" spans="1:9" x14ac:dyDescent="0.2">
      <c r="A61" s="4"/>
    </row>
    <row r="62" spans="1:9" x14ac:dyDescent="0.2">
      <c r="A62" s="4"/>
    </row>
    <row r="63" spans="1:9" x14ac:dyDescent="0.2">
      <c r="A63" s="4"/>
    </row>
    <row r="64" spans="1: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3" x14ac:dyDescent="0.2">
      <c r="A81" s="6"/>
      <c r="B81" s="7"/>
      <c r="C81" s="7"/>
    </row>
    <row r="82" spans="1:3" x14ac:dyDescent="0.2">
      <c r="A82" s="6"/>
      <c r="B82" s="7"/>
    </row>
    <row r="83" spans="1:3" x14ac:dyDescent="0.2">
      <c r="A83" s="6"/>
      <c r="B83" s="7"/>
    </row>
    <row r="84" spans="1:3" x14ac:dyDescent="0.2">
      <c r="A84" s="6"/>
      <c r="B84" s="7"/>
    </row>
    <row r="85" spans="1:3" x14ac:dyDescent="0.2">
      <c r="A85" s="6"/>
      <c r="B85" s="7"/>
    </row>
    <row r="86" spans="1:3" x14ac:dyDescent="0.2">
      <c r="A86" s="6"/>
      <c r="B86" s="7"/>
    </row>
    <row r="87" spans="1:3" x14ac:dyDescent="0.2">
      <c r="A87" s="6"/>
      <c r="B87" s="7"/>
    </row>
    <row r="88" spans="1:3" x14ac:dyDescent="0.2">
      <c r="A88" s="6"/>
      <c r="B88" s="7"/>
    </row>
    <row r="89" spans="1:3" x14ac:dyDescent="0.2">
      <c r="A89" s="6"/>
      <c r="B89" s="7"/>
    </row>
  </sheetData>
  <conditionalFormatting sqref="H20:H50">
    <cfRule type="colorScale" priority="9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H14">
    <cfRule type="cellIs" dxfId="2" priority="1" operator="lessThan">
      <formula>1</formula>
    </cfRule>
  </conditionalFormatting>
  <conditionalFormatting sqref="B8:S8">
    <cfRule type="expression" dxfId="1" priority="13">
      <formula>ISEVEN(YEAR(B$8))</formula>
    </cfRule>
  </conditionalFormatting>
  <conditionalFormatting sqref="B7:S7">
    <cfRule type="expression" dxfId="0" priority="12">
      <formula>B$7=$B$15</formula>
    </cfRule>
  </conditionalFormatting>
  <hyperlinks>
    <hyperlink ref="A1:E1" r:id="rId1" display="Файл скачан с сайта excel2.ru &gt;&gt;&gt;"/>
    <hyperlink ref="F1" r:id="rId2" display="Файл скачан с сайта excel2.ru &gt;&gt;&gt;"/>
    <hyperlink ref="G1" r:id="rId3" display="Файл скачан с сайта excel2.ru &gt;&gt;&gt;"/>
    <hyperlink ref="H1" r:id="rId4" display="Файл скачан с сайта excel2.ru &gt;&gt;&gt;"/>
    <hyperlink ref="I1" r:id="rId5" display="Файл скачан с сайта excel2.ru &gt;&gt;&gt;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  <hyperlink ref="Q1" r:id="rId13" display="Файл скачан с сайта excel2.ru &gt;&gt;&gt;"/>
    <hyperlink ref="R1" r:id="rId14" display="Файл скачан с сайта excel2.ru &gt;&gt;&gt;"/>
    <hyperlink ref="S1" r:id="rId15" display="Файл скачан с сайта excel2.ru &gt;&gt;&gt;"/>
    <hyperlink ref="A2" r:id="rId16"/>
  </hyperlinks>
  <pageMargins left="0.75" right="0.75" top="1" bottom="1" header="0.5" footer="0.5"/>
  <pageSetup paperSize="9" orientation="portrait" horizontalDpi="300" verticalDpi="300" r:id="rId17"/>
  <headerFooter alignWithMargins="0"/>
  <drawing r:id="rId18"/>
  <legacyDrawing r:id="rId1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20" name="Scroll Bar 3">
              <controlPr defaultSize="0" autoPict="0">
                <anchor moveWithCells="1">
                  <from>
                    <xdr:col>0</xdr:col>
                    <xdr:colOff>133350</xdr:colOff>
                    <xdr:row>9</xdr:row>
                    <xdr:rowOff>38100</xdr:rowOff>
                  </from>
                  <to>
                    <xdr:col>1</xdr:col>
                    <xdr:colOff>66675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37" t="s">
        <v>11</v>
      </c>
      <c r="B1" s="37"/>
      <c r="C1" s="37"/>
      <c r="D1" s="37"/>
      <c r="E1" s="37"/>
      <c r="F1" s="37"/>
      <c r="G1" s="37"/>
    </row>
    <row r="2" spans="1:7" ht="107.25" customHeight="1" x14ac:dyDescent="0.25">
      <c r="A2" s="12" t="s">
        <v>12</v>
      </c>
    </row>
    <row r="3" spans="1:7" ht="105" customHeight="1" x14ac:dyDescent="0.25">
      <c r="A3" s="12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37" t="s">
        <v>11</v>
      </c>
      <c r="B1" s="37"/>
      <c r="C1" s="37"/>
      <c r="D1" s="37"/>
      <c r="E1" s="37"/>
      <c r="F1" s="37"/>
      <c r="G1" s="37"/>
    </row>
    <row r="2" spans="1:7" ht="107.25" customHeight="1" x14ac:dyDescent="0.25">
      <c r="A2" s="12" t="s">
        <v>12</v>
      </c>
    </row>
    <row r="3" spans="1:7" ht="105" customHeight="1" x14ac:dyDescent="0.25">
      <c r="A3" s="12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простой случай</vt:lpstr>
      <vt:lpstr>Ввод данных</vt:lpstr>
      <vt:lpstr>Детализация по месяцам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2006-12-16T20:01:17Z</dcterms:created>
  <dcterms:modified xsi:type="dcterms:W3CDTF">2023-02-26T18:31:50Z</dcterms:modified>
</cp:coreProperties>
</file>